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0" documentId="8_{FBEDEAE5-B9B9-4B06-A585-13CDA127FF87}" xr6:coauthVersionLast="47" xr6:coauthVersionMax="47" xr10:uidLastSave="{00000000-0000-0000-0000-000000000000}"/>
  <bookViews>
    <workbookView xWindow="240" yWindow="105" windowWidth="14805" windowHeight="8010" firstSheet="17" activeTab="4" xr2:uid="{00000000-000D-0000-FFFF-FFFF00000000}"/>
  </bookViews>
  <sheets>
    <sheet name="Procedures" sheetId="14" r:id="rId1"/>
    <sheet name="Conversions" sheetId="26" r:id="rId2"/>
    <sheet name="Containers" sheetId="7" r:id="rId3"/>
    <sheet name="Fertilizers" sheetId="16" r:id="rId4"/>
    <sheet name="Nutrients" sheetId="20" r:id="rId5"/>
    <sheet name="2026-10-01_Recipes" sheetId="21" state="hidden" r:id="rId6"/>
    <sheet name="2026-10-04_Recipes" sheetId="28" state="hidden" r:id="rId7"/>
    <sheet name="Recipes" sheetId="25" r:id="rId8"/>
    <sheet name="2026-10-03_Recipes" sheetId="24" state="hidden" r:id="rId9"/>
    <sheet name="Water" sheetId="27" r:id="rId10"/>
    <sheet name="Seeds" sheetId="4" r:id="rId11"/>
    <sheet name="2026-10-02_Jars" sheetId="19" state="hidden" r:id="rId12"/>
    <sheet name="2026-10-03_Jars" sheetId="22" state="hidden" r:id="rId13"/>
    <sheet name="Jars" sheetId="6" r:id="rId14"/>
    <sheet name="2026-09-26_Seeding and Growing" sheetId="12" state="hidden" r:id="rId15"/>
    <sheet name="2026-09-26_Harvest and Storage" sheetId="11" state="hidden" r:id="rId16"/>
    <sheet name="2026-10-03_Jars++" sheetId="23" state="hidden" r:id="rId17"/>
    <sheet name="Jars++" sheetId="18" r:id="rId18"/>
    <sheet name="Cups" sheetId="15" r:id="rId19"/>
    <sheet name="Growing" sheetId="2" r:id="rId20"/>
    <sheet name="Harvest" sheetId="3" r:id="rId21"/>
    <sheet name="Storage" sheetId="13" r:id="rId22"/>
    <sheet name="Temp" sheetId="1" r:id="rId23"/>
    <sheet name="vs Root Growth" sheetId="8" r:id="rId24"/>
    <sheet name="vs Lifespan" sheetId="10" r:id="rId25"/>
    <sheet name="Charts" sheetId="9" r:id="rId26"/>
  </sheets>
  <definedNames>
    <definedName name="Calc_Crops" localSheetId="7">INDEX(Nutrients_2[For],1):INDEX(Nutrients_2[For],MAX(1,SUMPRODUCT(--(TRIM(Nutrients_2[For])&lt;&gt;""))))</definedName>
    <definedName name="Calc_Crops" localSheetId="6">INDEX(Nutrients_2[For],1):INDEX(Nutrients_2[For],MAX(1,SUMPRODUCT(--(TRIM(Nutrients_2[For])&lt;&gt;""))))</definedName>
    <definedName name="Calc_Crops">INDEX(Nutrients_2[For],1):INDEX(Nutrients_2[For],MAX(1,SUMPRODUCT(--(TRIM(Nutrients_2[For])&lt;&gt;""))))</definedName>
    <definedName name="Calc_Fertilizers" localSheetId="7">INDEX(Fertilizers[Fertilizer],1):INDEX(Fertilizers[Fertilizer],MAX(1,SUMPRODUCT(--(TRIM(Fertilizers[Fertilizer])&lt;&gt;""))))</definedName>
    <definedName name="Calc_Fertilizers" localSheetId="6">INDEX(Fertilizers[Fertilizer],1):INDEX(Fertilizers[Fertilizer],MAX(1,SUMPRODUCT(--(TRIM(Fertilizers[Fertilizer])&lt;&gt;""))))</definedName>
    <definedName name="Calc_Fertilizers">INDEX(Fertilizers[Fertilizer],1):INDEX(Fertilizers[Fertilizer],MAX(1,SUMPRODUCT(--(TRIM(Fertilizers[Fertilizer])&lt;&gt;""))))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1" i="20" l="1" a="1"/>
  <c r="AJ11" i="20"/>
  <c r="AJ12" i="20" a="1"/>
  <c r="AJ12" i="20"/>
  <c r="AJ13" i="20" a="1"/>
  <c r="AJ13" i="20"/>
  <c r="AJ14" i="20" a="1"/>
  <c r="AJ14" i="20"/>
  <c r="AJ15" i="20" a="1"/>
  <c r="AJ15" i="20"/>
  <c r="AJ16" i="20" a="1"/>
  <c r="AJ16" i="20"/>
  <c r="AJ17" i="20" a="1"/>
  <c r="AJ17" i="20"/>
  <c r="AJ18" i="20" a="1"/>
  <c r="AJ18" i="20"/>
  <c r="AH11" i="20" a="1"/>
  <c r="AH11" i="20"/>
  <c r="AH12" i="20" a="1"/>
  <c r="AH12" i="20"/>
  <c r="AH13" i="20" a="1"/>
  <c r="AH13" i="20"/>
  <c r="AH14" i="20" a="1"/>
  <c r="AH14" i="20"/>
  <c r="AH15" i="20" a="1"/>
  <c r="AH15" i="20"/>
  <c r="AH16" i="20" a="1"/>
  <c r="AH16" i="20"/>
  <c r="AH17" i="20" a="1"/>
  <c r="AH17" i="20"/>
  <c r="AH18" i="20" a="1"/>
  <c r="AH18" i="20"/>
  <c r="AF11" i="20" a="1"/>
  <c r="AF11" i="20"/>
  <c r="AF12" i="20" a="1"/>
  <c r="AF12" i="20"/>
  <c r="AF13" i="20" a="1"/>
  <c r="AF13" i="20"/>
  <c r="AF14" i="20" a="1"/>
  <c r="AF14" i="20"/>
  <c r="AF15" i="20" a="1"/>
  <c r="AF15" i="20"/>
  <c r="AF16" i="20" a="1"/>
  <c r="AF16" i="20"/>
  <c r="AF17" i="20" a="1"/>
  <c r="AF17" i="20"/>
  <c r="AF18" i="20" a="1"/>
  <c r="AF18" i="20"/>
  <c r="AD11" i="20" a="1"/>
  <c r="AD11" i="20"/>
  <c r="AD12" i="20" a="1"/>
  <c r="AD12" i="20"/>
  <c r="AD13" i="20" a="1"/>
  <c r="AD13" i="20"/>
  <c r="AD14" i="20" a="1"/>
  <c r="AD14" i="20"/>
  <c r="AD15" i="20" a="1"/>
  <c r="AD15" i="20"/>
  <c r="AD16" i="20" a="1"/>
  <c r="AD16" i="20"/>
  <c r="AD17" i="20" a="1"/>
  <c r="AD17" i="20"/>
  <c r="AD18" i="20" a="1"/>
  <c r="AD18" i="20"/>
  <c r="AB11" i="20" a="1"/>
  <c r="AB11" i="20"/>
  <c r="AB12" i="20" a="1"/>
  <c r="AB12" i="20"/>
  <c r="AB13" i="20" a="1"/>
  <c r="AB13" i="20"/>
  <c r="AB14" i="20" a="1"/>
  <c r="AB14" i="20"/>
  <c r="AB15" i="20" a="1"/>
  <c r="AB15" i="20"/>
  <c r="AB16" i="20" a="1"/>
  <c r="AB16" i="20"/>
  <c r="AB17" i="20" a="1"/>
  <c r="AB17" i="20"/>
  <c r="AB18" i="20" a="1"/>
  <c r="AB18" i="20"/>
  <c r="Z11" i="20" a="1"/>
  <c r="Z11" i="20"/>
  <c r="Z12" i="20" a="1"/>
  <c r="Z12" i="20"/>
  <c r="Z13" i="20" a="1"/>
  <c r="Z13" i="20"/>
  <c r="Z14" i="20" a="1"/>
  <c r="Z14" i="20"/>
  <c r="Z15" i="20" a="1"/>
  <c r="Z15" i="20"/>
  <c r="Z16" i="20" a="1"/>
  <c r="Z16" i="20"/>
  <c r="Z17" i="20" a="1"/>
  <c r="Z17" i="20"/>
  <c r="Z18" i="20" a="1"/>
  <c r="Z18" i="20"/>
  <c r="X11" i="20" a="1"/>
  <c r="X11" i="20"/>
  <c r="X12" i="20" a="1"/>
  <c r="X12" i="20"/>
  <c r="X13" i="20" a="1"/>
  <c r="X13" i="20"/>
  <c r="X14" i="20" a="1"/>
  <c r="X14" i="20"/>
  <c r="X15" i="20" a="1"/>
  <c r="X15" i="20"/>
  <c r="X16" i="20" a="1"/>
  <c r="X16" i="20"/>
  <c r="X17" i="20" a="1"/>
  <c r="X17" i="20"/>
  <c r="X18" i="20" a="1"/>
  <c r="X18" i="20"/>
  <c r="V11" i="20" a="1"/>
  <c r="V11" i="20"/>
  <c r="V12" i="20" a="1"/>
  <c r="V12" i="20"/>
  <c r="V13" i="20" a="1"/>
  <c r="V13" i="20"/>
  <c r="V14" i="20" a="1"/>
  <c r="V14" i="20"/>
  <c r="V15" i="20" a="1"/>
  <c r="V15" i="20"/>
  <c r="V16" i="20" a="1"/>
  <c r="V16" i="20"/>
  <c r="V17" i="20" a="1"/>
  <c r="V17" i="20"/>
  <c r="V18" i="20" a="1"/>
  <c r="V18" i="20"/>
  <c r="T11" i="20" a="1"/>
  <c r="T11" i="20"/>
  <c r="T12" i="20" a="1"/>
  <c r="T12" i="20"/>
  <c r="T13" i="20" a="1"/>
  <c r="T13" i="20"/>
  <c r="T14" i="20" a="1"/>
  <c r="T14" i="20"/>
  <c r="T15" i="20" a="1"/>
  <c r="T15" i="20"/>
  <c r="T16" i="20" a="1"/>
  <c r="T16" i="20"/>
  <c r="T17" i="20" a="1"/>
  <c r="T17" i="20"/>
  <c r="T18" i="20" a="1"/>
  <c r="T18" i="20"/>
  <c r="R11" i="20"/>
  <c r="R12" i="20"/>
  <c r="R13" i="20"/>
  <c r="R14" i="20"/>
  <c r="R15" i="20"/>
  <c r="R16" i="20"/>
  <c r="R17" i="20"/>
  <c r="R18" i="20"/>
  <c r="P11" i="20"/>
  <c r="AN13" i="20" a="1"/>
  <c r="AN13" i="20"/>
  <c r="AN14" i="20" a="1"/>
  <c r="AN14" i="20"/>
  <c r="AN15" i="20" a="1"/>
  <c r="AN15" i="20"/>
  <c r="AN16" i="20" a="1"/>
  <c r="AN16" i="20"/>
  <c r="AN17" i="20" a="1"/>
  <c r="AN17" i="20"/>
  <c r="AN18" i="20" a="1"/>
  <c r="AN18" i="20"/>
  <c r="AM11" i="20" a="1"/>
  <c r="AN12" i="20" s="1" a="1"/>
  <c r="AN12" i="20" s="1"/>
  <c r="AM11" i="20"/>
  <c r="AN11" i="20" s="1" a="1"/>
  <c r="AN11" i="20" s="1"/>
  <c r="BE11" i="20" s="1"/>
  <c r="J28" i="25" a="1"/>
  <c r="J28" i="25"/>
  <c r="J13" i="20" a="1"/>
  <c r="J13" i="20"/>
  <c r="A23" i="25"/>
  <c r="Q14" i="18" a="1"/>
  <c r="Q14" i="18"/>
  <c r="G17" i="25" a="1"/>
  <c r="G17" i="25"/>
  <c r="G18" i="25" a="1"/>
  <c r="G18" i="25"/>
  <c r="G19" i="25" a="1"/>
  <c r="G19" i="25"/>
  <c r="E15" i="25" a="1"/>
  <c r="E15" i="25"/>
  <c r="G15" i="25" s="1" a="1"/>
  <c r="G15" i="25" s="1"/>
  <c r="E16" i="25" a="1"/>
  <c r="E16" i="25"/>
  <c r="G16" i="25" s="1" a="1"/>
  <c r="G16" i="25" s="1"/>
  <c r="E17" i="25" a="1"/>
  <c r="E17" i="25"/>
  <c r="E18" i="25" a="1"/>
  <c r="E18" i="25"/>
  <c r="E19" i="25" a="1"/>
  <c r="E19" i="25"/>
  <c r="P28" i="25" a="1"/>
  <c r="P28" i="25" s="1"/>
  <c r="O28" i="25" a="1"/>
  <c r="O28" i="25" s="1"/>
  <c r="N28" i="25" a="1"/>
  <c r="N28" i="25" s="1"/>
  <c r="M28" i="25" a="1"/>
  <c r="M28" i="25" s="1"/>
  <c r="L28" i="25" a="1"/>
  <c r="L28" i="25" s="1"/>
  <c r="K28" i="25" a="1"/>
  <c r="K28" i="25" s="1"/>
  <c r="I28" i="25" a="1"/>
  <c r="I28" i="25" s="1"/>
  <c r="H28" i="25" a="1"/>
  <c r="H28" i="25" s="1"/>
  <c r="G28" i="25" a="1"/>
  <c r="G28" i="25" s="1"/>
  <c r="F28" i="25" a="1"/>
  <c r="F28" i="25" s="1"/>
  <c r="E28" i="25" a="1"/>
  <c r="E28" i="25" s="1"/>
  <c r="D28" i="25" a="1"/>
  <c r="D28" i="25" s="1"/>
  <c r="C28" i="25" a="1"/>
  <c r="C28" i="25" s="1"/>
  <c r="B28" i="25" a="1"/>
  <c r="B28" i="25" s="1"/>
  <c r="A35" i="28"/>
  <c r="A34" i="28"/>
  <c r="A33" i="28"/>
  <c r="A32" i="28"/>
  <c r="A31" i="28"/>
  <c r="P26" i="28" a="1"/>
  <c r="P26" i="28" s="1"/>
  <c r="O26" i="28" a="1"/>
  <c r="O26" i="28" s="1"/>
  <c r="N26" i="28" a="1"/>
  <c r="N26" i="28" s="1"/>
  <c r="M26" i="28" a="1"/>
  <c r="M26" i="28" s="1"/>
  <c r="L26" i="28" a="1"/>
  <c r="L26" i="28" s="1"/>
  <c r="K26" i="28" a="1"/>
  <c r="K26" i="28" s="1"/>
  <c r="J26" i="28" a="1"/>
  <c r="J26" i="28" s="1"/>
  <c r="I26" i="28" a="1"/>
  <c r="I26" i="28" s="1"/>
  <c r="H26" i="28" a="1"/>
  <c r="H26" i="28" s="1"/>
  <c r="G26" i="28" a="1"/>
  <c r="G26" i="28" s="1"/>
  <c r="F26" i="28" a="1"/>
  <c r="F26" i="28" s="1"/>
  <c r="B26" i="28" a="1"/>
  <c r="B26" i="28" s="1"/>
  <c r="P24" i="28" a="1"/>
  <c r="P24" i="28" s="1"/>
  <c r="O24" i="28" a="1"/>
  <c r="O24" i="28" s="1"/>
  <c r="N24" i="28" a="1"/>
  <c r="N24" i="28" s="1"/>
  <c r="M24" i="28" a="1"/>
  <c r="M24" i="28" s="1"/>
  <c r="L24" i="28" a="1"/>
  <c r="L24" i="28" s="1"/>
  <c r="K24" i="28" a="1"/>
  <c r="K24" i="28" s="1"/>
  <c r="I24" i="28" a="1"/>
  <c r="I24" i="28" s="1"/>
  <c r="H24" i="28" a="1"/>
  <c r="H24" i="28" s="1"/>
  <c r="G24" i="28" a="1"/>
  <c r="G24" i="28" s="1"/>
  <c r="F24" i="28" a="1"/>
  <c r="F24" i="28" s="1"/>
  <c r="E24" i="28" a="1"/>
  <c r="E24" i="28" s="1"/>
  <c r="D24" i="28" a="1"/>
  <c r="D24" i="28" s="1"/>
  <c r="C24" i="28" a="1"/>
  <c r="C24" i="28" s="1"/>
  <c r="B24" i="28" a="1"/>
  <c r="B24" i="28" s="1"/>
  <c r="A23" i="28"/>
  <c r="A22" i="28"/>
  <c r="A21" i="28"/>
  <c r="A20" i="28"/>
  <c r="A19" i="28"/>
  <c r="G15" i="28" a="1"/>
  <c r="G15" i="28" s="1"/>
  <c r="E15" i="28" a="1"/>
  <c r="E15" i="28" s="1"/>
  <c r="G14" i="28" a="1"/>
  <c r="G14" i="28" s="1"/>
  <c r="E14" i="28" a="1"/>
  <c r="E14" i="28" s="1"/>
  <c r="G13" i="28" a="1"/>
  <c r="G13" i="28" s="1"/>
  <c r="E13" i="28" a="1"/>
  <c r="E13" i="28" s="1"/>
  <c r="G12" i="28" a="1"/>
  <c r="G12" i="28" s="1"/>
  <c r="E12" i="28" a="1"/>
  <c r="E12" i="28" s="1"/>
  <c r="E11" i="28" a="1"/>
  <c r="E11" i="28" s="1"/>
  <c r="F15" i="25" a="1"/>
  <c r="F15" i="25"/>
  <c r="F16" i="25" a="1"/>
  <c r="F16" i="25"/>
  <c r="F17" i="25" a="1"/>
  <c r="F17" i="25"/>
  <c r="F18" i="25" a="1"/>
  <c r="F18" i="25"/>
  <c r="F19" i="25" a="1"/>
  <c r="F19" i="25"/>
  <c r="A24" i="25"/>
  <c r="A25" i="25"/>
  <c r="A26" i="25"/>
  <c r="A27" i="25"/>
  <c r="E13" i="26"/>
  <c r="B65" i="24"/>
  <c r="C59" i="24"/>
  <c r="A59" i="24"/>
  <c r="C58" i="24"/>
  <c r="A58" i="24"/>
  <c r="C57" i="24"/>
  <c r="A57" i="24"/>
  <c r="C56" i="24"/>
  <c r="A56" i="24"/>
  <c r="C55" i="24"/>
  <c r="C60" i="24" s="1"/>
  <c r="A55" i="24"/>
  <c r="C51" i="24"/>
  <c r="D51" i="24" s="1"/>
  <c r="E51" i="24" s="1"/>
  <c r="F51" i="24" s="1"/>
  <c r="A51" i="24"/>
  <c r="C50" i="24"/>
  <c r="D50" i="24" s="1"/>
  <c r="E50" i="24" s="1"/>
  <c r="F50" i="24" s="1"/>
  <c r="A50" i="24"/>
  <c r="C49" i="24"/>
  <c r="D49" i="24" s="1"/>
  <c r="E49" i="24" s="1"/>
  <c r="F49" i="24" s="1"/>
  <c r="A49" i="24"/>
  <c r="C48" i="24"/>
  <c r="D48" i="24" s="1"/>
  <c r="E48" i="24" s="1"/>
  <c r="F48" i="24" s="1"/>
  <c r="A48" i="24"/>
  <c r="C47" i="24"/>
  <c r="D47" i="24" s="1"/>
  <c r="E47" i="24" s="1"/>
  <c r="F47" i="24" s="1"/>
  <c r="A47" i="24"/>
  <c r="A45" i="24"/>
  <c r="B43" i="24"/>
  <c r="C43" i="24" s="1"/>
  <c r="A43" i="24"/>
  <c r="B42" i="24"/>
  <c r="C42" i="24" s="1"/>
  <c r="A42" i="24"/>
  <c r="B41" i="24"/>
  <c r="C41" i="24" s="1"/>
  <c r="A41" i="24"/>
  <c r="B40" i="24"/>
  <c r="C40" i="24" s="1"/>
  <c r="A40" i="24"/>
  <c r="B39" i="24"/>
  <c r="C39" i="24" s="1"/>
  <c r="A39" i="24"/>
  <c r="P34" i="24"/>
  <c r="O34" i="24"/>
  <c r="N34" i="24"/>
  <c r="M34" i="24"/>
  <c r="L34" i="24"/>
  <c r="K34" i="24"/>
  <c r="J34" i="24"/>
  <c r="J35" i="24" s="1"/>
  <c r="I34" i="24"/>
  <c r="H34" i="24"/>
  <c r="G34" i="24"/>
  <c r="F34" i="24"/>
  <c r="B34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B32" i="24"/>
  <c r="A31" i="24"/>
  <c r="A30" i="24"/>
  <c r="A29" i="24"/>
  <c r="A28" i="24"/>
  <c r="A27" i="24"/>
  <c r="D23" i="24"/>
  <c r="C23" i="24"/>
  <c r="D22" i="24"/>
  <c r="C22" i="24"/>
  <c r="D21" i="24"/>
  <c r="C21" i="24"/>
  <c r="D20" i="24"/>
  <c r="C20" i="24"/>
  <c r="D19" i="24"/>
  <c r="C19" i="24"/>
  <c r="B15" i="24"/>
  <c r="E13" i="24"/>
  <c r="E11" i="21" a="1"/>
  <c r="E11" i="21"/>
  <c r="J13" i="21" a="1"/>
  <c r="J13" i="21"/>
  <c r="J14" i="21" a="1"/>
  <c r="J14" i="21"/>
  <c r="I13" i="21" a="1"/>
  <c r="I13" i="21"/>
  <c r="I14" i="21" a="1"/>
  <c r="I14" i="21"/>
  <c r="G35" i="23"/>
  <c r="S34" i="23" a="1"/>
  <c r="S34" i="23" s="1"/>
  <c r="R34" i="23" a="1"/>
  <c r="R34" i="23" s="1"/>
  <c r="Q34" i="23" a="1"/>
  <c r="Q34" i="23" s="1"/>
  <c r="G34" i="23"/>
  <c r="S33" i="23" a="1"/>
  <c r="S33" i="23" s="1"/>
  <c r="R33" i="23" a="1"/>
  <c r="R33" i="23" s="1"/>
  <c r="Q33" i="23" a="1"/>
  <c r="Q33" i="23" s="1"/>
  <c r="G33" i="23"/>
  <c r="S32" i="23" a="1"/>
  <c r="S32" i="23" s="1"/>
  <c r="R32" i="23" a="1"/>
  <c r="R32" i="23" s="1"/>
  <c r="Q32" i="23" a="1"/>
  <c r="Q32" i="23" s="1"/>
  <c r="G32" i="23"/>
  <c r="S31" i="23" a="1"/>
  <c r="S31" i="23" s="1"/>
  <c r="R31" i="23" a="1"/>
  <c r="R31" i="23" s="1"/>
  <c r="Q31" i="23" a="1"/>
  <c r="Q31" i="23" s="1"/>
  <c r="G31" i="23"/>
  <c r="S30" i="23" a="1"/>
  <c r="S30" i="23" s="1"/>
  <c r="R30" i="23" a="1"/>
  <c r="R30" i="23" s="1"/>
  <c r="Q30" i="23" a="1"/>
  <c r="Q30" i="23" s="1"/>
  <c r="G30" i="23"/>
  <c r="S29" i="23" a="1"/>
  <c r="S29" i="23" s="1"/>
  <c r="R29" i="23" a="1"/>
  <c r="R29" i="23" s="1"/>
  <c r="Q29" i="23" a="1"/>
  <c r="Q29" i="23" s="1"/>
  <c r="G29" i="23"/>
  <c r="S28" i="23" a="1"/>
  <c r="S28" i="23" s="1"/>
  <c r="R28" i="23" a="1"/>
  <c r="R28" i="23" s="1"/>
  <c r="Q28" i="23" a="1"/>
  <c r="Q28" i="23" s="1"/>
  <c r="G28" i="23"/>
  <c r="S27" i="23" a="1"/>
  <c r="S27" i="23" s="1"/>
  <c r="R27" i="23" a="1"/>
  <c r="R27" i="23" s="1"/>
  <c r="Q27" i="23" a="1"/>
  <c r="Q27" i="23" s="1"/>
  <c r="J27" i="23"/>
  <c r="G27" i="23"/>
  <c r="S26" i="23" a="1"/>
  <c r="S26" i="23" s="1"/>
  <c r="R26" i="23" a="1"/>
  <c r="R26" i="23" s="1"/>
  <c r="Q26" i="23" a="1"/>
  <c r="Q26" i="23" s="1"/>
  <c r="J26" i="23"/>
  <c r="G26" i="23"/>
  <c r="S25" i="23" a="1"/>
  <c r="S25" i="23" s="1"/>
  <c r="R25" i="23" a="1"/>
  <c r="R25" i="23" s="1"/>
  <c r="Q25" i="23" a="1"/>
  <c r="Q25" i="23" s="1"/>
  <c r="J25" i="23"/>
  <c r="G25" i="23"/>
  <c r="S24" i="23" a="1"/>
  <c r="S24" i="23" s="1"/>
  <c r="R24" i="23" a="1"/>
  <c r="R24" i="23" s="1"/>
  <c r="Q24" i="23" a="1"/>
  <c r="Q24" i="23" s="1"/>
  <c r="G24" i="23"/>
  <c r="S23" i="23" a="1"/>
  <c r="S23" i="23" s="1"/>
  <c r="R23" i="23" a="1"/>
  <c r="R23" i="23" s="1"/>
  <c r="Q23" i="23" a="1"/>
  <c r="Q23" i="23" s="1"/>
  <c r="G23" i="23"/>
  <c r="S22" i="23" a="1"/>
  <c r="S22" i="23" s="1"/>
  <c r="R22" i="23" a="1"/>
  <c r="R22" i="23" s="1"/>
  <c r="Q22" i="23" a="1"/>
  <c r="Q22" i="23" s="1"/>
  <c r="G22" i="23"/>
  <c r="S21" i="23" a="1"/>
  <c r="S21" i="23" s="1"/>
  <c r="R21" i="23" a="1"/>
  <c r="R21" i="23" s="1"/>
  <c r="Q21" i="23" a="1"/>
  <c r="Q21" i="23" s="1"/>
  <c r="G21" i="23"/>
  <c r="S20" i="23" a="1"/>
  <c r="S20" i="23" s="1"/>
  <c r="R20" i="23" a="1"/>
  <c r="R20" i="23" s="1"/>
  <c r="Q20" i="23" a="1"/>
  <c r="Q20" i="23" s="1"/>
  <c r="G20" i="23"/>
  <c r="S19" i="23" a="1"/>
  <c r="S19" i="23" s="1"/>
  <c r="R19" i="23" a="1"/>
  <c r="R19" i="23" s="1"/>
  <c r="Q19" i="23" a="1"/>
  <c r="Q19" i="23" s="1"/>
  <c r="G19" i="23"/>
  <c r="S18" i="23" a="1"/>
  <c r="S18" i="23" s="1"/>
  <c r="R18" i="23" a="1"/>
  <c r="R18" i="23" s="1"/>
  <c r="Q18" i="23" a="1"/>
  <c r="Q18" i="23" s="1"/>
  <c r="G18" i="23"/>
  <c r="S17" i="23" a="1"/>
  <c r="S17" i="23" s="1"/>
  <c r="R17" i="23" a="1"/>
  <c r="R17" i="23" s="1"/>
  <c r="Q17" i="23" a="1"/>
  <c r="Q17" i="23" s="1"/>
  <c r="G17" i="23"/>
  <c r="S16" i="23" a="1"/>
  <c r="S16" i="23" s="1"/>
  <c r="R16" i="23" a="1"/>
  <c r="R16" i="23" s="1"/>
  <c r="Q16" i="23" a="1"/>
  <c r="Q16" i="23" s="1"/>
  <c r="J15" i="23"/>
  <c r="G15" i="23"/>
  <c r="J14" i="23"/>
  <c r="G14" i="23"/>
  <c r="J13" i="23"/>
  <c r="G13" i="23"/>
  <c r="J12" i="23"/>
  <c r="G12" i="23"/>
  <c r="J11" i="23"/>
  <c r="G11" i="23"/>
  <c r="N11" i="23" s="1" a="1"/>
  <c r="W60" i="22" a="1"/>
  <c r="W60" i="22" s="1"/>
  <c r="T60" i="22"/>
  <c r="P60" i="22"/>
  <c r="J60" i="22" a="1"/>
  <c r="J60" i="22" s="1"/>
  <c r="I60" i="22" a="1"/>
  <c r="I60" i="22" s="1"/>
  <c r="E60" i="22"/>
  <c r="W59" i="22" a="1"/>
  <c r="W59" i="22" s="1"/>
  <c r="T59" i="22"/>
  <c r="P59" i="22"/>
  <c r="J59" i="22" a="1"/>
  <c r="J59" i="22" s="1"/>
  <c r="I59" i="22" a="1"/>
  <c r="I59" i="22" s="1"/>
  <c r="E59" i="22"/>
  <c r="W58" i="22" a="1"/>
  <c r="W58" i="22" s="1"/>
  <c r="T58" i="22"/>
  <c r="P58" i="22"/>
  <c r="J58" i="22" a="1"/>
  <c r="J58" i="22" s="1"/>
  <c r="I58" i="22" a="1"/>
  <c r="I58" i="22" s="1"/>
  <c r="E58" i="22"/>
  <c r="W57" i="22" a="1"/>
  <c r="W57" i="22" s="1"/>
  <c r="T57" i="22"/>
  <c r="P57" i="22"/>
  <c r="J57" i="22" a="1"/>
  <c r="J57" i="22" s="1"/>
  <c r="I57" i="22" a="1"/>
  <c r="I57" i="22" s="1"/>
  <c r="E57" i="22"/>
  <c r="W56" i="22" a="1"/>
  <c r="W56" i="22" s="1"/>
  <c r="T56" i="22"/>
  <c r="P56" i="22"/>
  <c r="J56" i="22" a="1"/>
  <c r="J56" i="22" s="1"/>
  <c r="I56" i="22" a="1"/>
  <c r="I56" i="22" s="1"/>
  <c r="E56" i="22"/>
  <c r="W55" i="22" a="1"/>
  <c r="W55" i="22" s="1"/>
  <c r="T55" i="22"/>
  <c r="P55" i="22"/>
  <c r="J55" i="22" a="1"/>
  <c r="J55" i="22" s="1"/>
  <c r="I55" i="22" a="1"/>
  <c r="I55" i="22" s="1"/>
  <c r="E55" i="22"/>
  <c r="W54" i="22" a="1"/>
  <c r="W54" i="22" s="1"/>
  <c r="T54" i="22"/>
  <c r="P54" i="22"/>
  <c r="J54" i="22" a="1"/>
  <c r="J54" i="22" s="1"/>
  <c r="I54" i="22" a="1"/>
  <c r="I54" i="22" s="1"/>
  <c r="E54" i="22"/>
  <c r="P53" i="22"/>
  <c r="J53" i="22" a="1"/>
  <c r="J53" i="22" s="1"/>
  <c r="I53" i="22" a="1"/>
  <c r="I53" i="22" s="1"/>
  <c r="E53" i="22"/>
  <c r="P52" i="22"/>
  <c r="J52" i="22" a="1"/>
  <c r="J52" i="22" s="1"/>
  <c r="I52" i="22" a="1"/>
  <c r="I52" i="22" s="1"/>
  <c r="E52" i="22"/>
  <c r="P51" i="22"/>
  <c r="J51" i="22" a="1"/>
  <c r="J51" i="22" s="1"/>
  <c r="I51" i="22" a="1"/>
  <c r="I51" i="22" s="1"/>
  <c r="E51" i="22"/>
  <c r="T50" i="22"/>
  <c r="P50" i="22"/>
  <c r="J50" i="22" a="1"/>
  <c r="J50" i="22" s="1"/>
  <c r="I50" i="22" a="1"/>
  <c r="I50" i="22" s="1"/>
  <c r="E50" i="22"/>
  <c r="T49" i="22"/>
  <c r="P49" i="22"/>
  <c r="J49" i="22" a="1"/>
  <c r="J49" i="22" s="1"/>
  <c r="I49" i="22" a="1"/>
  <c r="I49" i="22" s="1"/>
  <c r="E49" i="22"/>
  <c r="P48" i="22"/>
  <c r="J48" i="22" a="1"/>
  <c r="J48" i="22" s="1"/>
  <c r="I48" i="22" a="1"/>
  <c r="I48" i="22" s="1"/>
  <c r="E48" i="22"/>
  <c r="P47" i="22"/>
  <c r="J47" i="22" a="1"/>
  <c r="J47" i="22" s="1"/>
  <c r="I47" i="22" a="1"/>
  <c r="I47" i="22" s="1"/>
  <c r="E47" i="22"/>
  <c r="P46" i="22"/>
  <c r="J46" i="22" a="1"/>
  <c r="J46" i="22" s="1"/>
  <c r="I46" i="22" a="1"/>
  <c r="I46" i="22" s="1"/>
  <c r="E46" i="22"/>
  <c r="P45" i="22"/>
  <c r="J45" i="22" a="1"/>
  <c r="J45" i="22" s="1"/>
  <c r="I45" i="22" a="1"/>
  <c r="I45" i="22" s="1"/>
  <c r="E45" i="22"/>
  <c r="P44" i="22"/>
  <c r="J44" i="22" a="1"/>
  <c r="J44" i="22" s="1"/>
  <c r="I44" i="22" a="1"/>
  <c r="I44" i="22" s="1"/>
  <c r="E44" i="22"/>
  <c r="P43" i="22"/>
  <c r="J43" i="22" a="1"/>
  <c r="J43" i="22" s="1"/>
  <c r="I43" i="22" a="1"/>
  <c r="I43" i="22" s="1"/>
  <c r="E43" i="22"/>
  <c r="P42" i="22"/>
  <c r="J42" i="22" a="1"/>
  <c r="J42" i="22" s="1"/>
  <c r="I42" i="22" a="1"/>
  <c r="I42" i="22" s="1"/>
  <c r="E42" i="22"/>
  <c r="T41" i="22"/>
  <c r="P41" i="22"/>
  <c r="J41" i="22" a="1"/>
  <c r="J41" i="22" s="1"/>
  <c r="I41" i="22" a="1"/>
  <c r="I41" i="22" s="1"/>
  <c r="E41" i="22"/>
  <c r="T40" i="22"/>
  <c r="P40" i="22"/>
  <c r="J40" i="22" a="1"/>
  <c r="J40" i="22" s="1"/>
  <c r="I40" i="22" a="1"/>
  <c r="I40" i="22" s="1"/>
  <c r="E40" i="22"/>
  <c r="P39" i="22"/>
  <c r="J39" i="22" a="1"/>
  <c r="J39" i="22" s="1"/>
  <c r="I39" i="22" a="1"/>
  <c r="I39" i="22" s="1"/>
  <c r="E39" i="22"/>
  <c r="P38" i="22"/>
  <c r="J38" i="22" a="1"/>
  <c r="J38" i="22" s="1"/>
  <c r="I38" i="22" a="1"/>
  <c r="I38" i="22" s="1"/>
  <c r="E38" i="22"/>
  <c r="P37" i="22"/>
  <c r="J37" i="22" a="1"/>
  <c r="J37" i="22" s="1"/>
  <c r="I37" i="22" a="1"/>
  <c r="I37" i="22" s="1"/>
  <c r="E37" i="22"/>
  <c r="P36" i="22"/>
  <c r="J36" i="22" a="1"/>
  <c r="J36" i="22" s="1"/>
  <c r="I36" i="22" a="1"/>
  <c r="I36" i="22" s="1"/>
  <c r="E36" i="22"/>
  <c r="P35" i="22"/>
  <c r="J35" i="22" a="1"/>
  <c r="J35" i="22" s="1"/>
  <c r="I35" i="22" a="1"/>
  <c r="I35" i="22" s="1"/>
  <c r="E35" i="22"/>
  <c r="P34" i="22"/>
  <c r="J34" i="22" a="1"/>
  <c r="J34" i="22" s="1"/>
  <c r="I34" i="22" a="1"/>
  <c r="I34" i="22" s="1"/>
  <c r="E34" i="22"/>
  <c r="P33" i="22"/>
  <c r="J33" i="22" a="1"/>
  <c r="J33" i="22" s="1"/>
  <c r="I33" i="22" a="1"/>
  <c r="I33" i="22" s="1"/>
  <c r="E33" i="22"/>
  <c r="P32" i="22"/>
  <c r="J32" i="22" a="1"/>
  <c r="J32" i="22" s="1"/>
  <c r="I32" i="22" a="1"/>
  <c r="I32" i="22" s="1"/>
  <c r="E32" i="22"/>
  <c r="P31" i="22"/>
  <c r="J31" i="22" a="1"/>
  <c r="J31" i="22" s="1"/>
  <c r="I31" i="22" a="1"/>
  <c r="I31" i="22" s="1"/>
  <c r="E31" i="22"/>
  <c r="T30" i="22"/>
  <c r="P30" i="22"/>
  <c r="J30" i="22" a="1"/>
  <c r="J30" i="22" s="1"/>
  <c r="I30" i="22" a="1"/>
  <c r="I30" i="22" s="1"/>
  <c r="E30" i="22"/>
  <c r="P29" i="22"/>
  <c r="J29" i="22" a="1"/>
  <c r="J29" i="22" s="1"/>
  <c r="I29" i="22" a="1"/>
  <c r="I29" i="22" s="1"/>
  <c r="E29" i="22"/>
  <c r="P28" i="22"/>
  <c r="J28" i="22" a="1"/>
  <c r="J28" i="22" s="1"/>
  <c r="I28" i="22" a="1"/>
  <c r="I28" i="22" s="1"/>
  <c r="E28" i="22"/>
  <c r="P27" i="22"/>
  <c r="J27" i="22" a="1"/>
  <c r="J27" i="22" s="1"/>
  <c r="I27" i="22" a="1"/>
  <c r="I27" i="22" s="1"/>
  <c r="E27" i="22"/>
  <c r="P26" i="22"/>
  <c r="J26" i="22" a="1"/>
  <c r="J26" i="22" s="1"/>
  <c r="I26" i="22" a="1"/>
  <c r="I26" i="22" s="1"/>
  <c r="E26" i="22"/>
  <c r="P25" i="22"/>
  <c r="J25" i="22" a="1"/>
  <c r="J25" i="22" s="1"/>
  <c r="I25" i="22" a="1"/>
  <c r="I25" i="22" s="1"/>
  <c r="E25" i="22"/>
  <c r="P24" i="22"/>
  <c r="J24" i="22" a="1"/>
  <c r="J24" i="22" s="1"/>
  <c r="I24" i="22" a="1"/>
  <c r="I24" i="22" s="1"/>
  <c r="E24" i="22"/>
  <c r="P23" i="22"/>
  <c r="J23" i="22" a="1"/>
  <c r="J23" i="22" s="1"/>
  <c r="I23" i="22" a="1"/>
  <c r="I23" i="22" s="1"/>
  <c r="E23" i="22"/>
  <c r="P22" i="22"/>
  <c r="J22" i="22" a="1"/>
  <c r="J22" i="22" s="1"/>
  <c r="I22" i="22" a="1"/>
  <c r="I22" i="22" s="1"/>
  <c r="E22" i="22"/>
  <c r="P21" i="22"/>
  <c r="J21" i="22" a="1"/>
  <c r="J21" i="22" s="1"/>
  <c r="I21" i="22" a="1"/>
  <c r="I21" i="22" s="1"/>
  <c r="E21" i="22"/>
  <c r="P20" i="22"/>
  <c r="J20" i="22" a="1"/>
  <c r="J20" i="22" s="1"/>
  <c r="I20" i="22" a="1"/>
  <c r="I20" i="22" s="1"/>
  <c r="E20" i="22"/>
  <c r="P19" i="22"/>
  <c r="J19" i="22" a="1"/>
  <c r="J19" i="22" s="1"/>
  <c r="I19" i="22" a="1"/>
  <c r="I19" i="22" s="1"/>
  <c r="E19" i="22"/>
  <c r="P18" i="22"/>
  <c r="J18" i="22" a="1"/>
  <c r="J18" i="22" s="1"/>
  <c r="I18" i="22" a="1"/>
  <c r="I18" i="22" s="1"/>
  <c r="E18" i="22"/>
  <c r="P17" i="22"/>
  <c r="J17" i="22" a="1"/>
  <c r="J17" i="22" s="1"/>
  <c r="I17" i="22" a="1"/>
  <c r="I17" i="22" s="1"/>
  <c r="E17" i="22"/>
  <c r="P16" i="22"/>
  <c r="J16" i="22" a="1"/>
  <c r="J16" i="22" s="1"/>
  <c r="I16" i="22" a="1"/>
  <c r="I16" i="22" s="1"/>
  <c r="E16" i="22"/>
  <c r="P15" i="22"/>
  <c r="J15" i="22" a="1"/>
  <c r="J15" i="22" s="1"/>
  <c r="I15" i="22" a="1"/>
  <c r="I15" i="22" s="1"/>
  <c r="E15" i="22"/>
  <c r="P14" i="22"/>
  <c r="J14" i="22" a="1"/>
  <c r="J14" i="22" s="1"/>
  <c r="I14" i="22" a="1"/>
  <c r="I14" i="22" s="1"/>
  <c r="E14" i="22"/>
  <c r="P13" i="22"/>
  <c r="J13" i="22" a="1"/>
  <c r="J13" i="22" s="1"/>
  <c r="I13" i="22" a="1"/>
  <c r="I13" i="22" s="1"/>
  <c r="E13" i="22"/>
  <c r="P12" i="22"/>
  <c r="J12" i="22" a="1"/>
  <c r="J12" i="22" s="1"/>
  <c r="I12" i="22" a="1"/>
  <c r="I12" i="22" s="1"/>
  <c r="E12" i="22"/>
  <c r="P11" i="22"/>
  <c r="J11" i="22" a="1"/>
  <c r="J11" i="22" s="1"/>
  <c r="I11" i="22" a="1"/>
  <c r="I11" i="22" s="1"/>
  <c r="E11" i="22"/>
  <c r="J11" i="20" a="1"/>
  <c r="J11" i="20"/>
  <c r="J12" i="20" a="1"/>
  <c r="J12" i="20"/>
  <c r="J14" i="20" a="1"/>
  <c r="J14" i="20"/>
  <c r="J15" i="20" a="1"/>
  <c r="J15" i="20"/>
  <c r="J16" i="20" a="1"/>
  <c r="J16" i="20"/>
  <c r="J17" i="20" a="1"/>
  <c r="J17" i="20"/>
  <c r="J18" i="20" a="1"/>
  <c r="J18" i="20"/>
  <c r="H11" i="20" a="1"/>
  <c r="H11" i="20"/>
  <c r="H12" i="20" a="1"/>
  <c r="H12" i="20"/>
  <c r="H13" i="20" a="1"/>
  <c r="H13" i="20"/>
  <c r="H14" i="20" a="1"/>
  <c r="H14" i="20"/>
  <c r="H15" i="20" a="1"/>
  <c r="H15" i="20"/>
  <c r="H16" i="20" a="1"/>
  <c r="H16" i="20"/>
  <c r="H17" i="20" a="1"/>
  <c r="H17" i="20"/>
  <c r="H18" i="20" a="1"/>
  <c r="H18" i="20"/>
  <c r="L11" i="20" a="1"/>
  <c r="L11" i="20"/>
  <c r="L12" i="20" a="1"/>
  <c r="L12" i="20"/>
  <c r="L13" i="20" a="1"/>
  <c r="L13" i="20"/>
  <c r="L14" i="20" a="1"/>
  <c r="L14" i="20"/>
  <c r="L15" i="20" a="1"/>
  <c r="L15" i="20"/>
  <c r="L16" i="20" a="1"/>
  <c r="L16" i="20"/>
  <c r="L17" i="20" a="1"/>
  <c r="L17" i="20"/>
  <c r="L18" i="20" a="1"/>
  <c r="L18" i="20"/>
  <c r="P12" i="20"/>
  <c r="P13" i="20"/>
  <c r="P14" i="20"/>
  <c r="P15" i="20"/>
  <c r="P16" i="20"/>
  <c r="P17" i="20"/>
  <c r="P18" i="20"/>
  <c r="N11" i="20"/>
  <c r="N12" i="20"/>
  <c r="N13" i="20"/>
  <c r="N14" i="20"/>
  <c r="N15" i="20"/>
  <c r="N16" i="20"/>
  <c r="N17" i="20"/>
  <c r="N18" i="20"/>
  <c r="F11" i="20"/>
  <c r="F12" i="20"/>
  <c r="F13" i="20"/>
  <c r="F14" i="20"/>
  <c r="F15" i="20"/>
  <c r="F16" i="20"/>
  <c r="F17" i="20"/>
  <c r="F18" i="20"/>
  <c r="D11" i="20"/>
  <c r="D12" i="20"/>
  <c r="D13" i="20"/>
  <c r="D14" i="20"/>
  <c r="D15" i="20"/>
  <c r="D16" i="20"/>
  <c r="D17" i="20"/>
  <c r="D18" i="20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G11" i="18"/>
  <c r="G12" i="18"/>
  <c r="G13" i="18"/>
  <c r="G14" i="18"/>
  <c r="G15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J27" i="18"/>
  <c r="S33" i="18" a="1"/>
  <c r="S33" i="18"/>
  <c r="S34" i="18" a="1"/>
  <c r="S34" i="18"/>
  <c r="R33" i="18" a="1"/>
  <c r="R33" i="18"/>
  <c r="R34" i="18" a="1"/>
  <c r="R34" i="18"/>
  <c r="Q33" i="18" a="1"/>
  <c r="Q33" i="18"/>
  <c r="Q34" i="18" a="1"/>
  <c r="Q34" i="18"/>
  <c r="J11" i="18"/>
  <c r="J12" i="18"/>
  <c r="J13" i="18"/>
  <c r="J14" i="18"/>
  <c r="J15" i="18"/>
  <c r="J25" i="18"/>
  <c r="J26" i="18"/>
  <c r="W60" i="19" a="1"/>
  <c r="W60" i="19" s="1"/>
  <c r="V60" i="19" a="1"/>
  <c r="V60" i="19" s="1"/>
  <c r="R60" i="19"/>
  <c r="J60" i="19" a="1"/>
  <c r="J60" i="19" s="1"/>
  <c r="I60" i="19" a="1"/>
  <c r="I60" i="19" s="1"/>
  <c r="E60" i="19"/>
  <c r="W59" i="19" a="1"/>
  <c r="W59" i="19" s="1"/>
  <c r="V59" i="19" a="1"/>
  <c r="V59" i="19" s="1"/>
  <c r="R59" i="19"/>
  <c r="J59" i="19" a="1"/>
  <c r="J59" i="19" s="1"/>
  <c r="I59" i="19" a="1"/>
  <c r="I59" i="19" s="1"/>
  <c r="E59" i="19"/>
  <c r="W58" i="19" a="1"/>
  <c r="W58" i="19" s="1"/>
  <c r="V58" i="19" a="1"/>
  <c r="V58" i="19" s="1"/>
  <c r="R58" i="19"/>
  <c r="J58" i="19" a="1"/>
  <c r="J58" i="19" s="1"/>
  <c r="I58" i="19" a="1"/>
  <c r="I58" i="19" s="1"/>
  <c r="E58" i="19"/>
  <c r="W57" i="19" a="1"/>
  <c r="W57" i="19" s="1"/>
  <c r="V57" i="19" a="1"/>
  <c r="V57" i="19" s="1"/>
  <c r="R57" i="19"/>
  <c r="J57" i="19" a="1"/>
  <c r="J57" i="19" s="1"/>
  <c r="I57" i="19" a="1"/>
  <c r="I57" i="19" s="1"/>
  <c r="E57" i="19"/>
  <c r="W56" i="19" a="1"/>
  <c r="W56" i="19" s="1"/>
  <c r="V56" i="19" a="1"/>
  <c r="V56" i="19" s="1"/>
  <c r="R56" i="19"/>
  <c r="J56" i="19" a="1"/>
  <c r="J56" i="19" s="1"/>
  <c r="I56" i="19" a="1"/>
  <c r="I56" i="19" s="1"/>
  <c r="E56" i="19"/>
  <c r="W55" i="19" a="1"/>
  <c r="W55" i="19" s="1"/>
  <c r="V55" i="19" a="1"/>
  <c r="V55" i="19" s="1"/>
  <c r="R55" i="19"/>
  <c r="J55" i="19" a="1"/>
  <c r="J55" i="19" s="1"/>
  <c r="I55" i="19" a="1"/>
  <c r="I55" i="19" s="1"/>
  <c r="E55" i="19"/>
  <c r="W54" i="19" a="1"/>
  <c r="W54" i="19" s="1"/>
  <c r="V54" i="19" a="1"/>
  <c r="V54" i="19" s="1"/>
  <c r="R54" i="19"/>
  <c r="J54" i="19" a="1"/>
  <c r="J54" i="19" s="1"/>
  <c r="I54" i="19" a="1"/>
  <c r="I54" i="19" s="1"/>
  <c r="E54" i="19"/>
  <c r="W53" i="19" a="1"/>
  <c r="W53" i="19" s="1"/>
  <c r="V53" i="19" a="1"/>
  <c r="V53" i="19" s="1"/>
  <c r="J53" i="19" a="1"/>
  <c r="J53" i="19" s="1"/>
  <c r="I53" i="19" a="1"/>
  <c r="I53" i="19" s="1"/>
  <c r="E53" i="19"/>
  <c r="W52" i="19" a="1"/>
  <c r="W52" i="19" s="1"/>
  <c r="V52" i="19" a="1"/>
  <c r="V52" i="19" s="1"/>
  <c r="J52" i="19" a="1"/>
  <c r="J52" i="19" s="1"/>
  <c r="I52" i="19" a="1"/>
  <c r="I52" i="19" s="1"/>
  <c r="E52" i="19"/>
  <c r="W51" i="19" a="1"/>
  <c r="W51" i="19" s="1"/>
  <c r="V51" i="19" a="1"/>
  <c r="V51" i="19" s="1"/>
  <c r="J51" i="19" a="1"/>
  <c r="J51" i="19" s="1"/>
  <c r="I51" i="19" a="1"/>
  <c r="I51" i="19" s="1"/>
  <c r="E51" i="19"/>
  <c r="W50" i="19" a="1"/>
  <c r="W50" i="19" s="1"/>
  <c r="V50" i="19" a="1"/>
  <c r="V50" i="19" s="1"/>
  <c r="R50" i="19"/>
  <c r="J50" i="19" a="1"/>
  <c r="J50" i="19" s="1"/>
  <c r="I50" i="19" a="1"/>
  <c r="I50" i="19" s="1"/>
  <c r="E50" i="19"/>
  <c r="W49" i="19" a="1"/>
  <c r="W49" i="19" s="1"/>
  <c r="V49" i="19" a="1"/>
  <c r="V49" i="19" s="1"/>
  <c r="R49" i="19"/>
  <c r="J49" i="19" a="1"/>
  <c r="J49" i="19" s="1"/>
  <c r="I49" i="19" a="1"/>
  <c r="I49" i="19" s="1"/>
  <c r="E49" i="19"/>
  <c r="W48" i="19" a="1"/>
  <c r="W48" i="19" s="1"/>
  <c r="V48" i="19" a="1"/>
  <c r="V48" i="19" s="1"/>
  <c r="J48" i="19" a="1"/>
  <c r="J48" i="19" s="1"/>
  <c r="I48" i="19" a="1"/>
  <c r="I48" i="19" s="1"/>
  <c r="E48" i="19"/>
  <c r="W47" i="19" a="1"/>
  <c r="W47" i="19" s="1"/>
  <c r="V47" i="19" a="1"/>
  <c r="V47" i="19" s="1"/>
  <c r="J47" i="19" a="1"/>
  <c r="J47" i="19" s="1"/>
  <c r="I47" i="19" a="1"/>
  <c r="I47" i="19" s="1"/>
  <c r="E47" i="19"/>
  <c r="W46" i="19" a="1"/>
  <c r="W46" i="19" s="1"/>
  <c r="V46" i="19" a="1"/>
  <c r="V46" i="19" s="1"/>
  <c r="J46" i="19" a="1"/>
  <c r="J46" i="19" s="1"/>
  <c r="I46" i="19" a="1"/>
  <c r="I46" i="19" s="1"/>
  <c r="E46" i="19"/>
  <c r="W45" i="19" a="1"/>
  <c r="W45" i="19" s="1"/>
  <c r="V45" i="19" a="1"/>
  <c r="V45" i="19" s="1"/>
  <c r="J45" i="19" a="1"/>
  <c r="J45" i="19" s="1"/>
  <c r="I45" i="19" a="1"/>
  <c r="I45" i="19" s="1"/>
  <c r="E45" i="19"/>
  <c r="W44" i="19" a="1"/>
  <c r="W44" i="19" s="1"/>
  <c r="V44" i="19" a="1"/>
  <c r="V44" i="19" s="1"/>
  <c r="J44" i="19" a="1"/>
  <c r="J44" i="19" s="1"/>
  <c r="I44" i="19" a="1"/>
  <c r="I44" i="19" s="1"/>
  <c r="E44" i="19"/>
  <c r="W43" i="19" a="1"/>
  <c r="W43" i="19" s="1"/>
  <c r="V43" i="19" a="1"/>
  <c r="V43" i="19" s="1"/>
  <c r="J43" i="19" a="1"/>
  <c r="J43" i="19" s="1"/>
  <c r="I43" i="19" a="1"/>
  <c r="I43" i="19" s="1"/>
  <c r="E43" i="19"/>
  <c r="W42" i="19" a="1"/>
  <c r="W42" i="19" s="1"/>
  <c r="V42" i="19" a="1"/>
  <c r="V42" i="19" s="1"/>
  <c r="J42" i="19" a="1"/>
  <c r="J42" i="19" s="1"/>
  <c r="I42" i="19" a="1"/>
  <c r="I42" i="19" s="1"/>
  <c r="E42" i="19"/>
  <c r="W41" i="19" a="1"/>
  <c r="W41" i="19" s="1"/>
  <c r="V41" i="19" a="1"/>
  <c r="V41" i="19" s="1"/>
  <c r="R41" i="19"/>
  <c r="J41" i="19" a="1"/>
  <c r="J41" i="19" s="1"/>
  <c r="I41" i="19" a="1"/>
  <c r="I41" i="19" s="1"/>
  <c r="E41" i="19"/>
  <c r="W40" i="19" a="1"/>
  <c r="W40" i="19" s="1"/>
  <c r="V40" i="19" a="1"/>
  <c r="V40" i="19" s="1"/>
  <c r="R40" i="19"/>
  <c r="J40" i="19" a="1"/>
  <c r="J40" i="19" s="1"/>
  <c r="I40" i="19" a="1"/>
  <c r="I40" i="19" s="1"/>
  <c r="E40" i="19"/>
  <c r="W39" i="19" a="1"/>
  <c r="W39" i="19" s="1"/>
  <c r="V39" i="19" a="1"/>
  <c r="V39" i="19" s="1"/>
  <c r="J39" i="19" a="1"/>
  <c r="J39" i="19" s="1"/>
  <c r="I39" i="19" a="1"/>
  <c r="I39" i="19" s="1"/>
  <c r="E39" i="19"/>
  <c r="W38" i="19" a="1"/>
  <c r="W38" i="19" s="1"/>
  <c r="V38" i="19" a="1"/>
  <c r="V38" i="19" s="1"/>
  <c r="J38" i="19" a="1"/>
  <c r="J38" i="19" s="1"/>
  <c r="I38" i="19" a="1"/>
  <c r="I38" i="19" s="1"/>
  <c r="E38" i="19"/>
  <c r="W37" i="19" a="1"/>
  <c r="W37" i="19" s="1"/>
  <c r="V37" i="19" a="1"/>
  <c r="V37" i="19" s="1"/>
  <c r="J37" i="19" a="1"/>
  <c r="J37" i="19" s="1"/>
  <c r="I37" i="19" a="1"/>
  <c r="I37" i="19" s="1"/>
  <c r="E37" i="19"/>
  <c r="W36" i="19" a="1"/>
  <c r="W36" i="19" s="1"/>
  <c r="V36" i="19" a="1"/>
  <c r="V36" i="19" s="1"/>
  <c r="J36" i="19" a="1"/>
  <c r="J36" i="19" s="1"/>
  <c r="I36" i="19" a="1"/>
  <c r="I36" i="19" s="1"/>
  <c r="E36" i="19"/>
  <c r="W35" i="19" a="1"/>
  <c r="W35" i="19" s="1"/>
  <c r="V35" i="19" a="1"/>
  <c r="V35" i="19" s="1"/>
  <c r="J35" i="19" a="1"/>
  <c r="J35" i="19" s="1"/>
  <c r="I35" i="19" a="1"/>
  <c r="I35" i="19" s="1"/>
  <c r="E35" i="19"/>
  <c r="W34" i="19" a="1"/>
  <c r="W34" i="19" s="1"/>
  <c r="V34" i="19" a="1"/>
  <c r="V34" i="19" s="1"/>
  <c r="J34" i="19" a="1"/>
  <c r="J34" i="19" s="1"/>
  <c r="I34" i="19" a="1"/>
  <c r="I34" i="19" s="1"/>
  <c r="E34" i="19"/>
  <c r="W33" i="19" a="1"/>
  <c r="W33" i="19" s="1"/>
  <c r="V33" i="19" a="1"/>
  <c r="V33" i="19" s="1"/>
  <c r="J33" i="19" a="1"/>
  <c r="J33" i="19" s="1"/>
  <c r="I33" i="19" a="1"/>
  <c r="I33" i="19" s="1"/>
  <c r="E33" i="19"/>
  <c r="W32" i="19" a="1"/>
  <c r="W32" i="19" s="1"/>
  <c r="V32" i="19" a="1"/>
  <c r="V32" i="19" s="1"/>
  <c r="J32" i="19" a="1"/>
  <c r="J32" i="19" s="1"/>
  <c r="I32" i="19" a="1"/>
  <c r="I32" i="19" s="1"/>
  <c r="E32" i="19"/>
  <c r="W31" i="19" a="1"/>
  <c r="W31" i="19" s="1"/>
  <c r="V31" i="19" a="1"/>
  <c r="V31" i="19" s="1"/>
  <c r="J31" i="19" a="1"/>
  <c r="J31" i="19" s="1"/>
  <c r="I31" i="19" a="1"/>
  <c r="I31" i="19" s="1"/>
  <c r="E31" i="19"/>
  <c r="W30" i="19" a="1"/>
  <c r="W30" i="19" s="1"/>
  <c r="V30" i="19" a="1"/>
  <c r="V30" i="19" s="1"/>
  <c r="R30" i="19"/>
  <c r="J30" i="19" a="1"/>
  <c r="J30" i="19" s="1"/>
  <c r="I30" i="19" a="1"/>
  <c r="I30" i="19" s="1"/>
  <c r="E30" i="19"/>
  <c r="W29" i="19" a="1"/>
  <c r="W29" i="19" s="1"/>
  <c r="V29" i="19" a="1"/>
  <c r="V29" i="19" s="1"/>
  <c r="J29" i="19" a="1"/>
  <c r="J29" i="19" s="1"/>
  <c r="I29" i="19" a="1"/>
  <c r="I29" i="19" s="1"/>
  <c r="E29" i="19"/>
  <c r="W28" i="19" a="1"/>
  <c r="W28" i="19" s="1"/>
  <c r="V28" i="19" a="1"/>
  <c r="V28" i="19" s="1"/>
  <c r="J28" i="19" a="1"/>
  <c r="J28" i="19" s="1"/>
  <c r="I28" i="19" a="1"/>
  <c r="I28" i="19" s="1"/>
  <c r="E28" i="19"/>
  <c r="W27" i="19" a="1"/>
  <c r="W27" i="19" s="1"/>
  <c r="V27" i="19" a="1"/>
  <c r="V27" i="19" s="1"/>
  <c r="J27" i="19" a="1"/>
  <c r="J27" i="19" s="1"/>
  <c r="I27" i="19" a="1"/>
  <c r="I27" i="19" s="1"/>
  <c r="E27" i="19"/>
  <c r="W26" i="19" a="1"/>
  <c r="W26" i="19" s="1"/>
  <c r="V26" i="19" a="1"/>
  <c r="V26" i="19" s="1"/>
  <c r="J26" i="19" a="1"/>
  <c r="J26" i="19" s="1"/>
  <c r="I26" i="19" a="1"/>
  <c r="I26" i="19" s="1"/>
  <c r="E26" i="19"/>
  <c r="W25" i="19" a="1"/>
  <c r="W25" i="19" s="1"/>
  <c r="V25" i="19" a="1"/>
  <c r="V25" i="19" s="1"/>
  <c r="J25" i="19" a="1"/>
  <c r="J25" i="19" s="1"/>
  <c r="I25" i="19" a="1"/>
  <c r="I25" i="19" s="1"/>
  <c r="E25" i="19"/>
  <c r="W24" i="19" a="1"/>
  <c r="W24" i="19" s="1"/>
  <c r="V24" i="19" a="1"/>
  <c r="V24" i="19" s="1"/>
  <c r="J24" i="19" a="1"/>
  <c r="J24" i="19" s="1"/>
  <c r="I24" i="19" a="1"/>
  <c r="I24" i="19" s="1"/>
  <c r="E24" i="19"/>
  <c r="W23" i="19" a="1"/>
  <c r="W23" i="19" s="1"/>
  <c r="V23" i="19" a="1"/>
  <c r="V23" i="19" s="1"/>
  <c r="J23" i="19" a="1"/>
  <c r="J23" i="19" s="1"/>
  <c r="I23" i="19" a="1"/>
  <c r="I23" i="19" s="1"/>
  <c r="E23" i="19"/>
  <c r="W22" i="19" a="1"/>
  <c r="W22" i="19" s="1"/>
  <c r="V22" i="19" a="1"/>
  <c r="V22" i="19" s="1"/>
  <c r="J22" i="19" a="1"/>
  <c r="J22" i="19" s="1"/>
  <c r="I22" i="19" a="1"/>
  <c r="I22" i="19" s="1"/>
  <c r="E22" i="19"/>
  <c r="W21" i="19" a="1"/>
  <c r="W21" i="19" s="1"/>
  <c r="V21" i="19" a="1"/>
  <c r="V21" i="19" s="1"/>
  <c r="J21" i="19" a="1"/>
  <c r="J21" i="19" s="1"/>
  <c r="I21" i="19" a="1"/>
  <c r="I21" i="19" s="1"/>
  <c r="E21" i="19"/>
  <c r="W20" i="19" a="1"/>
  <c r="W20" i="19" s="1"/>
  <c r="V20" i="19" a="1"/>
  <c r="V20" i="19" s="1"/>
  <c r="J20" i="19" a="1"/>
  <c r="J20" i="19" s="1"/>
  <c r="I20" i="19" a="1"/>
  <c r="I20" i="19" s="1"/>
  <c r="E20" i="19"/>
  <c r="W19" i="19" a="1"/>
  <c r="W19" i="19" s="1"/>
  <c r="V19" i="19" a="1"/>
  <c r="V19" i="19" s="1"/>
  <c r="J19" i="19" a="1"/>
  <c r="J19" i="19" s="1"/>
  <c r="I19" i="19" a="1"/>
  <c r="I19" i="19" s="1"/>
  <c r="E19" i="19"/>
  <c r="W18" i="19" a="1"/>
  <c r="W18" i="19" s="1"/>
  <c r="V18" i="19" a="1"/>
  <c r="V18" i="19" s="1"/>
  <c r="J18" i="19" a="1"/>
  <c r="J18" i="19" s="1"/>
  <c r="I18" i="19" a="1"/>
  <c r="I18" i="19" s="1"/>
  <c r="E18" i="19"/>
  <c r="W17" i="19" a="1"/>
  <c r="W17" i="19" s="1"/>
  <c r="V17" i="19" a="1"/>
  <c r="V17" i="19" s="1"/>
  <c r="J17" i="19" a="1"/>
  <c r="J17" i="19" s="1"/>
  <c r="I17" i="19" a="1"/>
  <c r="I17" i="19" s="1"/>
  <c r="E17" i="19"/>
  <c r="W16" i="19" a="1"/>
  <c r="W16" i="19" s="1"/>
  <c r="V16" i="19" a="1"/>
  <c r="V16" i="19" s="1"/>
  <c r="J16" i="19" a="1"/>
  <c r="J16" i="19" s="1"/>
  <c r="I16" i="19" a="1"/>
  <c r="I16" i="19" s="1"/>
  <c r="E16" i="19"/>
  <c r="W15" i="19" a="1"/>
  <c r="W15" i="19" s="1"/>
  <c r="V15" i="19" a="1"/>
  <c r="V15" i="19" s="1"/>
  <c r="J15" i="19" a="1"/>
  <c r="J15" i="19" s="1"/>
  <c r="I15" i="19" a="1"/>
  <c r="I15" i="19" s="1"/>
  <c r="E15" i="19"/>
  <c r="W14" i="19" a="1"/>
  <c r="W14" i="19" s="1"/>
  <c r="V14" i="19" a="1"/>
  <c r="V14" i="19" s="1"/>
  <c r="J14" i="19" a="1"/>
  <c r="J14" i="19" s="1"/>
  <c r="I14" i="19" a="1"/>
  <c r="I14" i="19" s="1"/>
  <c r="E14" i="19"/>
  <c r="W13" i="19" a="1"/>
  <c r="W13" i="19" s="1"/>
  <c r="V13" i="19" a="1"/>
  <c r="V13" i="19" s="1"/>
  <c r="J13" i="19" a="1"/>
  <c r="J13" i="19" s="1"/>
  <c r="I13" i="19" a="1"/>
  <c r="I13" i="19" s="1"/>
  <c r="E13" i="19"/>
  <c r="W12" i="19" a="1"/>
  <c r="W12" i="19" s="1"/>
  <c r="V12" i="19" a="1"/>
  <c r="V12" i="19" s="1"/>
  <c r="J12" i="19" a="1"/>
  <c r="J12" i="19" s="1"/>
  <c r="I12" i="19" a="1"/>
  <c r="I12" i="19" s="1"/>
  <c r="E12" i="19"/>
  <c r="W11" i="19" a="1"/>
  <c r="W11" i="19" s="1"/>
  <c r="V11" i="19" a="1"/>
  <c r="V11" i="19" s="1"/>
  <c r="J11" i="19" a="1"/>
  <c r="J11" i="19" s="1"/>
  <c r="I11" i="19" a="1"/>
  <c r="I11" i="19" s="1"/>
  <c r="E11" i="19"/>
  <c r="H42" i="2" a="1"/>
  <c r="H42" i="2" s="1"/>
  <c r="D42" i="8" s="1"/>
  <c r="T30" i="6"/>
  <c r="T40" i="6"/>
  <c r="T41" i="6"/>
  <c r="T49" i="6"/>
  <c r="T50" i="6"/>
  <c r="T54" i="6"/>
  <c r="T55" i="6"/>
  <c r="T56" i="6"/>
  <c r="T57" i="6"/>
  <c r="T58" i="6"/>
  <c r="T59" i="6"/>
  <c r="T60" i="6"/>
  <c r="W54" i="6" a="1"/>
  <c r="W54" i="6" s="1"/>
  <c r="W55" i="6" a="1"/>
  <c r="W55" i="6" s="1"/>
  <c r="W56" i="6" a="1"/>
  <c r="W56" i="6" s="1"/>
  <c r="W57" i="6" a="1"/>
  <c r="W57" i="6" s="1"/>
  <c r="W58" i="6" a="1"/>
  <c r="W58" i="6" s="1"/>
  <c r="W59" i="6" a="1"/>
  <c r="W59" i="6" s="1"/>
  <c r="W60" i="6" a="1"/>
  <c r="W60" i="6" s="1"/>
  <c r="I51" i="6" a="1"/>
  <c r="I51" i="6" s="1"/>
  <c r="E50" i="6"/>
  <c r="I37" i="6" a="1"/>
  <c r="I37" i="6" s="1"/>
  <c r="I45" i="6" a="1"/>
  <c r="I45" i="6" s="1"/>
  <c r="I11" i="6" a="1"/>
  <c r="I11" i="6" s="1"/>
  <c r="I12" i="6" a="1"/>
  <c r="I12" i="6" s="1"/>
  <c r="I13" i="6" a="1"/>
  <c r="I13" i="6" s="1"/>
  <c r="I14" i="6" a="1"/>
  <c r="I14" i="6" s="1"/>
  <c r="I15" i="6" a="1"/>
  <c r="I15" i="6" s="1"/>
  <c r="I16" i="6" a="1"/>
  <c r="I16" i="6" s="1"/>
  <c r="I17" i="6" a="1"/>
  <c r="I17" i="6" s="1"/>
  <c r="I18" i="6" a="1"/>
  <c r="I18" i="6" s="1"/>
  <c r="I19" i="6" a="1"/>
  <c r="I19" i="6" s="1"/>
  <c r="I20" i="6" a="1"/>
  <c r="I20" i="6" s="1"/>
  <c r="I21" i="6" a="1"/>
  <c r="I21" i="6" s="1"/>
  <c r="I22" i="6" a="1"/>
  <c r="I22" i="6" s="1"/>
  <c r="I23" i="6" a="1"/>
  <c r="I23" i="6" s="1"/>
  <c r="I24" i="6" a="1"/>
  <c r="I24" i="6"/>
  <c r="I25" i="6" a="1"/>
  <c r="I25" i="6" s="1"/>
  <c r="I26" i="6" a="1"/>
  <c r="I26" i="6"/>
  <c r="I27" i="6" a="1"/>
  <c r="I27" i="6" s="1"/>
  <c r="I28" i="6" a="1"/>
  <c r="I28" i="6" s="1"/>
  <c r="I29" i="6" a="1"/>
  <c r="I29" i="6" s="1"/>
  <c r="I30" i="6" a="1"/>
  <c r="I30" i="6" s="1"/>
  <c r="I31" i="6" a="1"/>
  <c r="I31" i="6" s="1"/>
  <c r="I32" i="6" a="1"/>
  <c r="I32" i="6" s="1"/>
  <c r="I33" i="6" a="1"/>
  <c r="I33" i="6" s="1"/>
  <c r="I34" i="6" a="1"/>
  <c r="I34" i="6" s="1"/>
  <c r="I35" i="6" a="1"/>
  <c r="I35" i="6" s="1"/>
  <c r="I36" i="6" a="1"/>
  <c r="I36" i="6" s="1"/>
  <c r="I38" i="6" a="1"/>
  <c r="I38" i="6" s="1"/>
  <c r="I39" i="6" a="1"/>
  <c r="I39" i="6" s="1"/>
  <c r="I40" i="6" a="1"/>
  <c r="I40" i="6" s="1"/>
  <c r="I41" i="6" a="1"/>
  <c r="I41" i="6" s="1"/>
  <c r="I42" i="6" a="1"/>
  <c r="I42" i="6" s="1"/>
  <c r="I43" i="6" a="1"/>
  <c r="I43" i="6"/>
  <c r="I44" i="6" a="1"/>
  <c r="I44" i="6" s="1"/>
  <c r="I46" i="6" a="1"/>
  <c r="I46" i="6" s="1"/>
  <c r="I47" i="6" a="1"/>
  <c r="I47" i="6" s="1"/>
  <c r="I48" i="6" a="1"/>
  <c r="I48" i="6" s="1"/>
  <c r="I49" i="6" a="1"/>
  <c r="I49" i="6" s="1"/>
  <c r="I50" i="6" a="1"/>
  <c r="I50" i="6" s="1"/>
  <c r="I52" i="6" a="1"/>
  <c r="I52" i="6" s="1"/>
  <c r="I53" i="6" a="1"/>
  <c r="I53" i="6" s="1"/>
  <c r="I54" i="6" a="1"/>
  <c r="I54" i="6" s="1"/>
  <c r="I55" i="6" a="1"/>
  <c r="I55" i="6" s="1"/>
  <c r="I56" i="6" a="1"/>
  <c r="I56" i="6" s="1"/>
  <c r="I57" i="6" a="1"/>
  <c r="I57" i="6" s="1"/>
  <c r="I58" i="6" a="1"/>
  <c r="I58" i="6" s="1"/>
  <c r="I59" i="6" a="1"/>
  <c r="I59" i="6" s="1"/>
  <c r="I60" i="6" a="1"/>
  <c r="I60" i="6" s="1"/>
  <c r="J11" i="6" a="1"/>
  <c r="J11" i="6" s="1"/>
  <c r="J12" i="6" a="1"/>
  <c r="J12" i="6" s="1"/>
  <c r="J13" i="6" a="1"/>
  <c r="J13" i="6" s="1"/>
  <c r="J14" i="6" a="1"/>
  <c r="J14" i="6" s="1"/>
  <c r="J15" i="6" a="1"/>
  <c r="J15" i="6" s="1"/>
  <c r="J16" i="6" a="1"/>
  <c r="J16" i="6" s="1"/>
  <c r="J17" i="6" a="1"/>
  <c r="J17" i="6" s="1"/>
  <c r="J18" i="6" a="1"/>
  <c r="J18" i="6" s="1"/>
  <c r="J19" i="6" a="1"/>
  <c r="J19" i="6" s="1"/>
  <c r="J20" i="6" a="1"/>
  <c r="J20" i="6" s="1"/>
  <c r="J21" i="6" a="1"/>
  <c r="J21" i="6" s="1"/>
  <c r="J22" i="6" a="1"/>
  <c r="J22" i="6" s="1"/>
  <c r="J23" i="6" a="1"/>
  <c r="J23" i="6" s="1"/>
  <c r="J24" i="6" a="1"/>
  <c r="J24" i="6" s="1"/>
  <c r="J25" i="6" a="1"/>
  <c r="J25" i="6" s="1"/>
  <c r="J26" i="6" a="1"/>
  <c r="J26" i="6" s="1"/>
  <c r="J27" i="6" a="1"/>
  <c r="J27" i="6" s="1"/>
  <c r="J28" i="6" a="1"/>
  <c r="J28" i="6" s="1"/>
  <c r="J29" i="6" a="1"/>
  <c r="J29" i="6" s="1"/>
  <c r="J30" i="6" a="1"/>
  <c r="J30" i="6" s="1"/>
  <c r="J31" i="6" a="1"/>
  <c r="J31" i="6" s="1"/>
  <c r="J32" i="6" a="1"/>
  <c r="J32" i="6" s="1"/>
  <c r="J33" i="6" a="1"/>
  <c r="J33" i="6" s="1"/>
  <c r="J34" i="6" a="1"/>
  <c r="J34" i="6" s="1"/>
  <c r="J35" i="6" a="1"/>
  <c r="J35" i="6" s="1"/>
  <c r="J36" i="6" a="1"/>
  <c r="J36" i="6" s="1"/>
  <c r="J37" i="6" a="1"/>
  <c r="J37" i="6"/>
  <c r="J38" i="6" a="1"/>
  <c r="J38" i="6" s="1"/>
  <c r="J39" i="6" a="1"/>
  <c r="J39" i="6"/>
  <c r="J40" i="6" a="1"/>
  <c r="J40" i="6" s="1"/>
  <c r="J41" i="6" a="1"/>
  <c r="J41" i="6" s="1"/>
  <c r="J42" i="6" a="1"/>
  <c r="J42" i="6" s="1"/>
  <c r="J43" i="6" a="1"/>
  <c r="J43" i="6" s="1"/>
  <c r="J44" i="6" a="1"/>
  <c r="J44" i="6" s="1"/>
  <c r="J45" i="6" a="1"/>
  <c r="J45" i="6" s="1"/>
  <c r="J46" i="6" a="1"/>
  <c r="J46" i="6"/>
  <c r="J47" i="6" a="1"/>
  <c r="J47" i="6" s="1"/>
  <c r="J48" i="6" a="1"/>
  <c r="J48" i="6"/>
  <c r="J49" i="6" a="1"/>
  <c r="J49" i="6" s="1"/>
  <c r="J50" i="6" a="1"/>
  <c r="J50" i="6" s="1"/>
  <c r="J51" i="6" a="1"/>
  <c r="J51" i="6" s="1"/>
  <c r="J52" i="6" a="1"/>
  <c r="J52" i="6" s="1"/>
  <c r="J53" i="6" a="1"/>
  <c r="J53" i="6" s="1"/>
  <c r="J54" i="6" a="1"/>
  <c r="J54" i="6" s="1"/>
  <c r="J55" i="6" a="1"/>
  <c r="J55" i="6" s="1"/>
  <c r="J56" i="6" a="1"/>
  <c r="J56" i="6" s="1"/>
  <c r="J57" i="6" a="1"/>
  <c r="J57" i="6" s="1"/>
  <c r="J58" i="6" a="1"/>
  <c r="J58" i="6" s="1"/>
  <c r="J59" i="6" a="1"/>
  <c r="J59" i="6" s="1"/>
  <c r="J60" i="6" a="1"/>
  <c r="J60" i="6" s="1"/>
  <c r="E12" i="6"/>
  <c r="E11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1" i="6"/>
  <c r="E52" i="6"/>
  <c r="E53" i="6"/>
  <c r="E54" i="6"/>
  <c r="E55" i="6"/>
  <c r="E56" i="6"/>
  <c r="E57" i="6"/>
  <c r="E58" i="6"/>
  <c r="E59" i="6"/>
  <c r="E60" i="6"/>
  <c r="D11" i="2" a="1"/>
  <c r="D11" i="2" s="1"/>
  <c r="F16" i="2"/>
  <c r="D12" i="2" a="1"/>
  <c r="D12" i="2" s="1"/>
  <c r="D13" i="2" a="1"/>
  <c r="D13" i="2" s="1"/>
  <c r="C13" i="8" s="1"/>
  <c r="D14" i="2" a="1"/>
  <c r="D14" i="2" s="1"/>
  <c r="D15" i="2" a="1"/>
  <c r="D15" i="2" s="1"/>
  <c r="E15" i="2" s="1" a="1"/>
  <c r="E15" i="2" s="1"/>
  <c r="D16" i="2" a="1"/>
  <c r="D16" i="2" s="1"/>
  <c r="E16" i="2" s="1" a="1"/>
  <c r="E16" i="2" s="1"/>
  <c r="D17" i="2" a="1"/>
  <c r="D17" i="2" s="1"/>
  <c r="D18" i="2" a="1"/>
  <c r="D18" i="2" s="1"/>
  <c r="E18" i="2" s="1" a="1"/>
  <c r="E18" i="2" s="1"/>
  <c r="D19" i="2" a="1"/>
  <c r="D19" i="2" s="1"/>
  <c r="D20" i="2" a="1"/>
  <c r="D20" i="2" s="1"/>
  <c r="C20" i="8" s="1"/>
  <c r="D21" i="2" a="1"/>
  <c r="D21" i="2" s="1"/>
  <c r="D22" i="2" a="1"/>
  <c r="D22" i="2" s="1"/>
  <c r="D23" i="2" a="1"/>
  <c r="D23" i="2" s="1"/>
  <c r="E23" i="2" s="1" a="1"/>
  <c r="E23" i="2" s="1"/>
  <c r="D24" i="2" a="1"/>
  <c r="D24" i="2" s="1"/>
  <c r="E24" i="2" s="1" a="1"/>
  <c r="E24" i="2" s="1"/>
  <c r="D25" i="2" a="1"/>
  <c r="D25" i="2" s="1"/>
  <c r="D26" i="2" a="1"/>
  <c r="D26" i="2" s="1"/>
  <c r="E26" i="2" s="1" a="1"/>
  <c r="E26" i="2" s="1"/>
  <c r="D27" i="2" a="1"/>
  <c r="D27" i="2" s="1"/>
  <c r="D28" i="2" a="1"/>
  <c r="D28" i="2"/>
  <c r="D29" i="2" a="1"/>
  <c r="D29" i="2" s="1"/>
  <c r="D30" i="2" a="1"/>
  <c r="D30" i="2" s="1"/>
  <c r="D31" i="2" a="1"/>
  <c r="D31" i="2" s="1"/>
  <c r="D32" i="2" a="1"/>
  <c r="D32" i="2" s="1"/>
  <c r="E32" i="2" s="1" a="1"/>
  <c r="E32" i="2" s="1"/>
  <c r="D33" i="2" a="1"/>
  <c r="D33" i="2" s="1"/>
  <c r="D34" i="2" a="1"/>
  <c r="D34" i="2" s="1"/>
  <c r="D35" i="2" a="1"/>
  <c r="D35" i="2" s="1"/>
  <c r="C35" i="8" s="1"/>
  <c r="D36" i="2" a="1"/>
  <c r="D36" i="2" s="1"/>
  <c r="C36" i="8" s="1"/>
  <c r="D37" i="2" a="1"/>
  <c r="D37" i="2" s="1"/>
  <c r="C37" i="8" s="1"/>
  <c r="D38" i="2" a="1"/>
  <c r="D38" i="2" s="1"/>
  <c r="E38" i="2" s="1" a="1"/>
  <c r="E38" i="2" s="1"/>
  <c r="D39" i="2" a="1"/>
  <c r="D39" i="2" s="1"/>
  <c r="D40" i="2" a="1"/>
  <c r="D40" i="2" s="1"/>
  <c r="E40" i="2" s="1" a="1"/>
  <c r="E40" i="2" s="1"/>
  <c r="D41" i="2" a="1"/>
  <c r="D41" i="2" s="1"/>
  <c r="C41" i="8" s="1"/>
  <c r="D42" i="2" a="1"/>
  <c r="D42" i="2" s="1"/>
  <c r="C42" i="8" s="1"/>
  <c r="D43" i="2" a="1"/>
  <c r="D43" i="2" s="1"/>
  <c r="C43" i="8" s="1"/>
  <c r="D44" i="2" a="1"/>
  <c r="D44" i="2" s="1"/>
  <c r="E44" i="2" s="1" a="1"/>
  <c r="E44" i="2" s="1"/>
  <c r="D45" i="2" a="1"/>
  <c r="D45" i="2" s="1"/>
  <c r="D46" i="2" a="1"/>
  <c r="D46" i="2"/>
  <c r="E46" i="2" s="1" a="1"/>
  <c r="E46" i="2" s="1"/>
  <c r="D47" i="2" a="1"/>
  <c r="D47" i="2" s="1"/>
  <c r="E47" i="2" s="1" a="1"/>
  <c r="E47" i="2" s="1"/>
  <c r="D48" i="2" a="1"/>
  <c r="D48" i="2" s="1"/>
  <c r="D49" i="2" a="1"/>
  <c r="D49" i="2" s="1"/>
  <c r="C49" i="10" s="1"/>
  <c r="D50" i="2" a="1"/>
  <c r="D50" i="2" s="1"/>
  <c r="E50" i="2" s="1" a="1"/>
  <c r="E50" i="2" s="1"/>
  <c r="D51" i="2" a="1"/>
  <c r="D51" i="2" s="1"/>
  <c r="D52" i="2" a="1"/>
  <c r="D52" i="2" s="1"/>
  <c r="D53" i="2" a="1"/>
  <c r="D53" i="2" s="1"/>
  <c r="E53" i="2" s="1" a="1"/>
  <c r="E53" i="2" s="1"/>
  <c r="D54" i="2" a="1"/>
  <c r="D54" i="2" s="1"/>
  <c r="C54" i="8" s="1"/>
  <c r="D55" i="2" a="1"/>
  <c r="D55" i="2" s="1"/>
  <c r="C55" i="8" s="1"/>
  <c r="D56" i="2" a="1"/>
  <c r="D56" i="2" s="1"/>
  <c r="D57" i="2" a="1"/>
  <c r="D57" i="2" s="1"/>
  <c r="D58" i="2" a="1"/>
  <c r="D58" i="2" s="1"/>
  <c r="D59" i="2" a="1"/>
  <c r="D59" i="2" s="1"/>
  <c r="D60" i="2" a="1"/>
  <c r="D60" i="2" s="1"/>
  <c r="C60" i="8" s="1"/>
  <c r="D61" i="2" a="1"/>
  <c r="D61" i="2" s="1"/>
  <c r="C61" i="8" s="1"/>
  <c r="D62" i="2" a="1"/>
  <c r="D62" i="2" s="1"/>
  <c r="E62" i="2" s="1" a="1"/>
  <c r="E62" i="2" s="1"/>
  <c r="D63" i="2" a="1"/>
  <c r="D63" i="2" s="1"/>
  <c r="C63" i="8" s="1"/>
  <c r="D64" i="2" a="1"/>
  <c r="D64" i="2" s="1"/>
  <c r="E64" i="2" s="1" a="1"/>
  <c r="E64" i="2" s="1"/>
  <c r="D65" i="2" a="1"/>
  <c r="D65" i="2" s="1"/>
  <c r="E65" i="2" s="1" a="1"/>
  <c r="E65" i="2" s="1"/>
  <c r="D66" i="2" a="1"/>
  <c r="D66" i="2" s="1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32" i="2"/>
  <c r="H11" i="2" a="1"/>
  <c r="H11" i="2" s="1"/>
  <c r="D11" i="10" s="1"/>
  <c r="H12" i="2" a="1"/>
  <c r="H12" i="2" s="1"/>
  <c r="D12" i="8" s="1"/>
  <c r="H13" i="2" a="1"/>
  <c r="H13" i="2" s="1"/>
  <c r="H14" i="2" a="1"/>
  <c r="H14" i="2" s="1"/>
  <c r="G14" i="2" s="1" a="1"/>
  <c r="G14" i="2" s="1"/>
  <c r="H15" i="2" a="1"/>
  <c r="H15" i="2" s="1"/>
  <c r="H16" i="2" a="1"/>
  <c r="H16" i="2"/>
  <c r="D16" i="10" s="1"/>
  <c r="H17" i="2" a="1"/>
  <c r="H17" i="2" s="1"/>
  <c r="G17" i="2" s="1" a="1"/>
  <c r="G17" i="2" s="1"/>
  <c r="H18" i="2" a="1"/>
  <c r="H18" i="2" s="1"/>
  <c r="H19" i="2" a="1"/>
  <c r="H19" i="2" s="1"/>
  <c r="H20" i="2" a="1"/>
  <c r="H20" i="2" s="1"/>
  <c r="H21" i="2" a="1"/>
  <c r="H21" i="2" s="1"/>
  <c r="G21" i="2" s="1" a="1"/>
  <c r="G21" i="2" s="1"/>
  <c r="H22" i="2" a="1"/>
  <c r="H22" i="2" s="1"/>
  <c r="H23" i="2" a="1"/>
  <c r="H23" i="2" s="1"/>
  <c r="G23" i="2" s="1" a="1"/>
  <c r="G23" i="2" s="1"/>
  <c r="H24" i="2" a="1"/>
  <c r="H24" i="2" s="1"/>
  <c r="H25" i="2" a="1"/>
  <c r="H25" i="2" s="1"/>
  <c r="G25" i="2" s="1" a="1"/>
  <c r="G25" i="2" s="1"/>
  <c r="H26" i="2" a="1"/>
  <c r="H26" i="2" s="1"/>
  <c r="G26" i="2" s="1" a="1"/>
  <c r="G26" i="2" s="1"/>
  <c r="H27" i="2" a="1"/>
  <c r="H27" i="2" s="1"/>
  <c r="H28" i="2" a="1"/>
  <c r="H28" i="2" s="1"/>
  <c r="H29" i="2" a="1"/>
  <c r="H29" i="2" s="1"/>
  <c r="H30" i="2" a="1"/>
  <c r="H30" i="2" s="1"/>
  <c r="D30" i="10" s="1"/>
  <c r="H31" i="2" a="1"/>
  <c r="H31" i="2" s="1"/>
  <c r="D31" i="10" s="1"/>
  <c r="H32" i="2" a="1"/>
  <c r="H32" i="2" s="1"/>
  <c r="D32" i="10" s="1"/>
  <c r="H33" i="2" a="1"/>
  <c r="H33" i="2" s="1"/>
  <c r="D33" i="10" s="1"/>
  <c r="H34" i="2" a="1"/>
  <c r="H34" i="2" s="1"/>
  <c r="D34" i="10" s="1"/>
  <c r="H35" i="2" a="1"/>
  <c r="H35" i="2" s="1"/>
  <c r="H36" i="2" a="1"/>
  <c r="H36" i="2" s="1"/>
  <c r="H37" i="2" a="1"/>
  <c r="H37" i="2" s="1"/>
  <c r="G37" i="2" s="1" a="1"/>
  <c r="G37" i="2" s="1"/>
  <c r="H38" i="2" a="1"/>
  <c r="H38" i="2" s="1"/>
  <c r="H39" i="2" a="1"/>
  <c r="H39" i="2" s="1"/>
  <c r="H40" i="2" a="1"/>
  <c r="H40" i="2" s="1"/>
  <c r="H41" i="2" a="1"/>
  <c r="H41" i="2" s="1"/>
  <c r="D41" i="8" s="1"/>
  <c r="H43" i="2" a="1"/>
  <c r="H43" i="2" s="1"/>
  <c r="H44" i="2" a="1"/>
  <c r="H44" i="2"/>
  <c r="D44" i="8" s="1"/>
  <c r="H45" i="2" a="1"/>
  <c r="H45" i="2" s="1"/>
  <c r="G45" i="2" s="1" a="1"/>
  <c r="G45" i="2" s="1"/>
  <c r="H46" i="2" a="1"/>
  <c r="H46" i="2" s="1"/>
  <c r="H47" i="2" a="1"/>
  <c r="H47" i="2" s="1"/>
  <c r="D47" i="8" s="1"/>
  <c r="H48" i="2" a="1"/>
  <c r="H48" i="2" s="1"/>
  <c r="G48" i="2" s="1" a="1"/>
  <c r="G48" i="2" s="1"/>
  <c r="H49" i="2" a="1"/>
  <c r="H49" i="2" s="1"/>
  <c r="H50" i="2" a="1"/>
  <c r="H50" i="2" s="1"/>
  <c r="D50" i="8" s="1"/>
  <c r="H51" i="2" a="1"/>
  <c r="H51" i="2" s="1"/>
  <c r="G51" i="2" s="1" a="1"/>
  <c r="G51" i="2" s="1"/>
  <c r="H52" i="2" a="1"/>
  <c r="H52" i="2" s="1"/>
  <c r="H53" i="2" a="1"/>
  <c r="H53" i="2" s="1"/>
  <c r="D53" i="8" s="1"/>
  <c r="H54" i="2" a="1"/>
  <c r="H54" i="2" s="1"/>
  <c r="D54" i="8" s="1"/>
  <c r="H55" i="2" a="1"/>
  <c r="H55" i="2" s="1"/>
  <c r="H56" i="2" a="1"/>
  <c r="H56" i="2"/>
  <c r="H57" i="2" a="1"/>
  <c r="H57" i="2" s="1"/>
  <c r="D57" i="8" s="1"/>
  <c r="H58" i="2" a="1"/>
  <c r="H58" i="2"/>
  <c r="D58" i="10" s="1"/>
  <c r="H59" i="2" a="1"/>
  <c r="H59" i="2" s="1"/>
  <c r="H60" i="2" a="1"/>
  <c r="H60" i="2" s="1"/>
  <c r="G60" i="2" s="1" a="1"/>
  <c r="G60" i="2" s="1"/>
  <c r="H61" i="2" a="1"/>
  <c r="H61" i="2" s="1"/>
  <c r="G61" i="2" s="1" a="1"/>
  <c r="G61" i="2" s="1"/>
  <c r="H62" i="2" a="1"/>
  <c r="H62" i="2" s="1"/>
  <c r="D62" i="8" s="1"/>
  <c r="H63" i="2" a="1"/>
  <c r="H63" i="2" s="1"/>
  <c r="H64" i="2" a="1"/>
  <c r="H64" i="2" s="1"/>
  <c r="H65" i="2" a="1"/>
  <c r="H65" i="2" s="1"/>
  <c r="D65" i="8" s="1"/>
  <c r="H66" i="2" a="1"/>
  <c r="H66" i="2" s="1"/>
  <c r="G66" i="2" s="1" a="1"/>
  <c r="G66" i="2" s="1"/>
  <c r="F11" i="2"/>
  <c r="A11" i="8" a="1"/>
  <c r="A11" i="8" s="1"/>
  <c r="B11" i="8" s="1"/>
  <c r="G20" i="2" a="1"/>
  <c r="G20" i="2" s="1"/>
  <c r="G63" i="2" a="1"/>
  <c r="G63" i="2" s="1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N66" i="12"/>
  <c r="I66" i="12"/>
  <c r="C66" i="12"/>
  <c r="N65" i="12"/>
  <c r="I65" i="12"/>
  <c r="C65" i="12"/>
  <c r="N64" i="12"/>
  <c r="I64" i="12"/>
  <c r="C64" i="12"/>
  <c r="N63" i="12"/>
  <c r="I63" i="12"/>
  <c r="C63" i="12"/>
  <c r="N62" i="12"/>
  <c r="I62" i="12"/>
  <c r="C62" i="12"/>
  <c r="N61" i="12"/>
  <c r="I61" i="12"/>
  <c r="C61" i="12"/>
  <c r="N60" i="12"/>
  <c r="I60" i="12"/>
  <c r="C60" i="12"/>
  <c r="N59" i="12"/>
  <c r="I59" i="12"/>
  <c r="C59" i="12"/>
  <c r="N58" i="12"/>
  <c r="I58" i="12"/>
  <c r="C58" i="12"/>
  <c r="N57" i="12"/>
  <c r="I57" i="12"/>
  <c r="C57" i="12"/>
  <c r="N56" i="12"/>
  <c r="I56" i="12"/>
  <c r="C56" i="12"/>
  <c r="N55" i="12"/>
  <c r="I55" i="12"/>
  <c r="C55" i="12"/>
  <c r="N54" i="12"/>
  <c r="I54" i="12"/>
  <c r="C54" i="12"/>
  <c r="N53" i="12"/>
  <c r="I53" i="12"/>
  <c r="C53" i="12"/>
  <c r="N52" i="12"/>
  <c r="I52" i="12"/>
  <c r="C52" i="12"/>
  <c r="N51" i="12"/>
  <c r="I51" i="12"/>
  <c r="C51" i="12"/>
  <c r="N50" i="12"/>
  <c r="I50" i="12"/>
  <c r="C50" i="12"/>
  <c r="N49" i="12"/>
  <c r="I49" i="12"/>
  <c r="C49" i="12"/>
  <c r="N48" i="12"/>
  <c r="I48" i="12"/>
  <c r="C48" i="12"/>
  <c r="N47" i="12"/>
  <c r="I47" i="12"/>
  <c r="C47" i="12"/>
  <c r="N46" i="12"/>
  <c r="I46" i="12"/>
  <c r="C46" i="12"/>
  <c r="N45" i="12"/>
  <c r="I45" i="12"/>
  <c r="C45" i="12"/>
  <c r="N44" i="12"/>
  <c r="I44" i="12"/>
  <c r="C44" i="12"/>
  <c r="N43" i="12"/>
  <c r="I43" i="12"/>
  <c r="C43" i="12"/>
  <c r="N42" i="12"/>
  <c r="I42" i="12"/>
  <c r="C42" i="12"/>
  <c r="N41" i="12"/>
  <c r="I41" i="12"/>
  <c r="C41" i="12"/>
  <c r="N40" i="12"/>
  <c r="I40" i="12"/>
  <c r="C40" i="12"/>
  <c r="N39" i="12"/>
  <c r="I39" i="12"/>
  <c r="C39" i="12"/>
  <c r="N38" i="12"/>
  <c r="I38" i="12"/>
  <c r="C38" i="12"/>
  <c r="N37" i="12"/>
  <c r="I37" i="12"/>
  <c r="C37" i="12"/>
  <c r="N36" i="12"/>
  <c r="I36" i="12"/>
  <c r="C36" i="12"/>
  <c r="N35" i="12"/>
  <c r="I35" i="12"/>
  <c r="C35" i="12"/>
  <c r="N34" i="12"/>
  <c r="I34" i="12"/>
  <c r="C34" i="12"/>
  <c r="N33" i="12"/>
  <c r="I33" i="12"/>
  <c r="C33" i="12"/>
  <c r="N32" i="12"/>
  <c r="I32" i="12"/>
  <c r="C32" i="12"/>
  <c r="N31" i="12"/>
  <c r="I31" i="12"/>
  <c r="C31" i="12"/>
  <c r="N30" i="12"/>
  <c r="I30" i="12"/>
  <c r="C30" i="12"/>
  <c r="N29" i="12"/>
  <c r="I29" i="12"/>
  <c r="C29" i="12"/>
  <c r="N28" i="12"/>
  <c r="I28" i="12"/>
  <c r="C28" i="12"/>
  <c r="N27" i="12"/>
  <c r="I27" i="12"/>
  <c r="C27" i="12"/>
  <c r="N26" i="12"/>
  <c r="I26" i="12"/>
  <c r="C26" i="12"/>
  <c r="N25" i="12"/>
  <c r="I25" i="12"/>
  <c r="C25" i="12"/>
  <c r="N24" i="12"/>
  <c r="I24" i="12"/>
  <c r="C24" i="12"/>
  <c r="N23" i="12"/>
  <c r="I23" i="12"/>
  <c r="C23" i="12"/>
  <c r="N22" i="12"/>
  <c r="I22" i="12"/>
  <c r="C22" i="12"/>
  <c r="N21" i="12"/>
  <c r="I21" i="12"/>
  <c r="C21" i="12"/>
  <c r="N20" i="12"/>
  <c r="I20" i="12"/>
  <c r="C20" i="12"/>
  <c r="N19" i="12"/>
  <c r="I19" i="12"/>
  <c r="C19" i="12"/>
  <c r="N18" i="12"/>
  <c r="I18" i="12"/>
  <c r="C18" i="12"/>
  <c r="N17" i="12"/>
  <c r="I17" i="12"/>
  <c r="C17" i="12"/>
  <c r="N16" i="12"/>
  <c r="I16" i="12"/>
  <c r="C16" i="12"/>
  <c r="N15" i="12"/>
  <c r="I15" i="12"/>
  <c r="C15" i="12"/>
  <c r="N14" i="12"/>
  <c r="I14" i="12"/>
  <c r="C14" i="12"/>
  <c r="N13" i="12"/>
  <c r="I13" i="12"/>
  <c r="C13" i="12"/>
  <c r="N12" i="12"/>
  <c r="I12" i="12"/>
  <c r="C12" i="12"/>
  <c r="N11" i="12"/>
  <c r="I11" i="12"/>
  <c r="C11" i="12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E11" i="10"/>
  <c r="E66" i="10"/>
  <c r="D66" i="10"/>
  <c r="A66" i="10" a="1"/>
  <c r="A66" i="10" s="1"/>
  <c r="B66" i="10" s="1"/>
  <c r="E65" i="10"/>
  <c r="C65" i="10"/>
  <c r="A65" i="10" a="1"/>
  <c r="A65" i="10" s="1"/>
  <c r="B65" i="10" s="1"/>
  <c r="E64" i="10"/>
  <c r="C64" i="10"/>
  <c r="A64" i="10" a="1"/>
  <c r="A64" i="10" s="1"/>
  <c r="B64" i="10" s="1"/>
  <c r="E63" i="10"/>
  <c r="D63" i="10"/>
  <c r="A63" i="10" a="1"/>
  <c r="A63" i="10" s="1"/>
  <c r="B63" i="10" s="1"/>
  <c r="E62" i="10"/>
  <c r="C62" i="10"/>
  <c r="A62" i="10" a="1"/>
  <c r="A62" i="10" s="1"/>
  <c r="B62" i="10" s="1"/>
  <c r="E61" i="10"/>
  <c r="D61" i="10"/>
  <c r="A61" i="10" a="1"/>
  <c r="A61" i="10" s="1"/>
  <c r="B61" i="10" s="1"/>
  <c r="E60" i="10"/>
  <c r="D60" i="10"/>
  <c r="A60" i="10" a="1"/>
  <c r="A60" i="10" s="1"/>
  <c r="B60" i="10" s="1"/>
  <c r="E59" i="10"/>
  <c r="A59" i="10" a="1"/>
  <c r="A59" i="10" s="1"/>
  <c r="B59" i="10" s="1"/>
  <c r="E58" i="10"/>
  <c r="A58" i="10" a="1"/>
  <c r="A58" i="10" s="1"/>
  <c r="B58" i="10" s="1"/>
  <c r="E57" i="10"/>
  <c r="A57" i="10" a="1"/>
  <c r="A57" i="10" s="1"/>
  <c r="B57" i="10" s="1"/>
  <c r="E56" i="10"/>
  <c r="A56" i="10" a="1"/>
  <c r="A56" i="10" s="1"/>
  <c r="B56" i="10" s="1"/>
  <c r="E55" i="10"/>
  <c r="A55" i="10" a="1"/>
  <c r="A55" i="10" s="1"/>
  <c r="B55" i="10" s="1"/>
  <c r="E54" i="10"/>
  <c r="A54" i="10" a="1"/>
  <c r="A54" i="10" s="1"/>
  <c r="B54" i="10" s="1"/>
  <c r="E53" i="10"/>
  <c r="C53" i="10"/>
  <c r="A53" i="10" a="1"/>
  <c r="A53" i="10" s="1"/>
  <c r="B53" i="10" s="1"/>
  <c r="E52" i="10"/>
  <c r="A52" i="10" a="1"/>
  <c r="A52" i="10" s="1"/>
  <c r="B52" i="10" s="1"/>
  <c r="E51" i="10"/>
  <c r="D51" i="10"/>
  <c r="A51" i="10" a="1"/>
  <c r="A51" i="10" s="1"/>
  <c r="B51" i="10" s="1"/>
  <c r="E50" i="10"/>
  <c r="C50" i="10"/>
  <c r="A50" i="10" a="1"/>
  <c r="A50" i="10" s="1"/>
  <c r="B50" i="10" s="1"/>
  <c r="E49" i="10"/>
  <c r="A49" i="10" a="1"/>
  <c r="A49" i="10" s="1"/>
  <c r="B49" i="10" s="1"/>
  <c r="E48" i="10"/>
  <c r="D48" i="10"/>
  <c r="A48" i="10" a="1"/>
  <c r="A48" i="10" s="1"/>
  <c r="B48" i="10" s="1"/>
  <c r="E47" i="10"/>
  <c r="C47" i="10"/>
  <c r="A47" i="10" a="1"/>
  <c r="A47" i="10" s="1"/>
  <c r="B47" i="10" s="1"/>
  <c r="E46" i="10"/>
  <c r="A46" i="10" a="1"/>
  <c r="A46" i="10" s="1"/>
  <c r="B46" i="10" s="1"/>
  <c r="E45" i="10"/>
  <c r="D45" i="10"/>
  <c r="A45" i="10" a="1"/>
  <c r="A45" i="10" s="1"/>
  <c r="B45" i="10" s="1"/>
  <c r="E44" i="10"/>
  <c r="A44" i="10" a="1"/>
  <c r="A44" i="10" s="1"/>
  <c r="B44" i="10" s="1"/>
  <c r="E43" i="10"/>
  <c r="A43" i="10" a="1"/>
  <c r="A43" i="10" s="1"/>
  <c r="B43" i="10" s="1"/>
  <c r="E42" i="10"/>
  <c r="A42" i="10" a="1"/>
  <c r="A42" i="10" s="1"/>
  <c r="B42" i="10" s="1"/>
  <c r="E41" i="10"/>
  <c r="A41" i="10" a="1"/>
  <c r="A41" i="10" s="1"/>
  <c r="B41" i="10" s="1"/>
  <c r="E40" i="10"/>
  <c r="C40" i="10"/>
  <c r="A40" i="10" a="1"/>
  <c r="A40" i="10" s="1"/>
  <c r="B40" i="10" s="1"/>
  <c r="E39" i="10"/>
  <c r="D39" i="10"/>
  <c r="A39" i="10" a="1"/>
  <c r="A39" i="10" s="1"/>
  <c r="B39" i="10" s="1"/>
  <c r="E38" i="10"/>
  <c r="A38" i="10" a="1"/>
  <c r="A38" i="10" s="1"/>
  <c r="B38" i="10" s="1"/>
  <c r="E37" i="10"/>
  <c r="D37" i="10"/>
  <c r="A37" i="10" a="1"/>
  <c r="A37" i="10" s="1"/>
  <c r="B37" i="10" s="1"/>
  <c r="E36" i="10"/>
  <c r="A36" i="10" a="1"/>
  <c r="A36" i="10" s="1"/>
  <c r="B36" i="10" s="1"/>
  <c r="E35" i="10"/>
  <c r="A35" i="10" a="1"/>
  <c r="A35" i="10" s="1"/>
  <c r="B35" i="10" s="1"/>
  <c r="E34" i="10"/>
  <c r="A34" i="10" a="1"/>
  <c r="A34" i="10" s="1"/>
  <c r="B34" i="10" s="1"/>
  <c r="E33" i="10"/>
  <c r="A33" i="10" a="1"/>
  <c r="A33" i="10" s="1"/>
  <c r="B33" i="10" s="1"/>
  <c r="E32" i="10"/>
  <c r="C32" i="10"/>
  <c r="A32" i="10" a="1"/>
  <c r="A32" i="10" s="1"/>
  <c r="B32" i="10" s="1"/>
  <c r="E31" i="10"/>
  <c r="A31" i="10" a="1"/>
  <c r="A31" i="10" s="1"/>
  <c r="B31" i="10" s="1"/>
  <c r="E30" i="10"/>
  <c r="A30" i="10" a="1"/>
  <c r="A30" i="10" s="1"/>
  <c r="B30" i="10" s="1"/>
  <c r="E29" i="10"/>
  <c r="C29" i="10"/>
  <c r="A29" i="10" a="1"/>
  <c r="A29" i="10" s="1"/>
  <c r="B29" i="10" s="1"/>
  <c r="E28" i="10"/>
  <c r="A28" i="10" a="1"/>
  <c r="A28" i="10" s="1"/>
  <c r="B28" i="10" s="1"/>
  <c r="E27" i="10"/>
  <c r="A27" i="10" a="1"/>
  <c r="A27" i="10" s="1"/>
  <c r="B27" i="10" s="1"/>
  <c r="E26" i="10"/>
  <c r="D26" i="10"/>
  <c r="A26" i="10" a="1"/>
  <c r="A26" i="10" s="1"/>
  <c r="B26" i="10" s="1"/>
  <c r="E25" i="10"/>
  <c r="A25" i="10" a="1"/>
  <c r="A25" i="10" s="1"/>
  <c r="B25" i="10" s="1"/>
  <c r="E24" i="10"/>
  <c r="C24" i="10"/>
  <c r="A24" i="10" a="1"/>
  <c r="A24" i="10" s="1"/>
  <c r="B24" i="10" s="1"/>
  <c r="E23" i="10"/>
  <c r="D23" i="10"/>
  <c r="A23" i="10" a="1"/>
  <c r="A23" i="10" s="1"/>
  <c r="B23" i="10" s="1"/>
  <c r="E22" i="10"/>
  <c r="C22" i="10"/>
  <c r="A22" i="10" a="1"/>
  <c r="A22" i="10" s="1"/>
  <c r="B22" i="10" s="1"/>
  <c r="E21" i="10"/>
  <c r="D21" i="10"/>
  <c r="A21" i="10" a="1"/>
  <c r="A21" i="10" s="1"/>
  <c r="B21" i="10" s="1"/>
  <c r="E20" i="10"/>
  <c r="D20" i="10"/>
  <c r="A20" i="10" a="1"/>
  <c r="A20" i="10" s="1"/>
  <c r="B20" i="10" s="1"/>
  <c r="E19" i="10"/>
  <c r="A19" i="10" a="1"/>
  <c r="A19" i="10" s="1"/>
  <c r="B19" i="10" s="1"/>
  <c r="E18" i="10"/>
  <c r="C18" i="10"/>
  <c r="A18" i="10" a="1"/>
  <c r="A18" i="10" s="1"/>
  <c r="B18" i="10" s="1"/>
  <c r="E17" i="10"/>
  <c r="A17" i="10" a="1"/>
  <c r="A17" i="10" s="1"/>
  <c r="B17" i="10" s="1"/>
  <c r="E16" i="10"/>
  <c r="C16" i="10"/>
  <c r="A16" i="10" a="1"/>
  <c r="A16" i="10" s="1"/>
  <c r="B16" i="10" s="1"/>
  <c r="E15" i="10"/>
  <c r="D15" i="10"/>
  <c r="C15" i="10"/>
  <c r="A15" i="10" a="1"/>
  <c r="A15" i="10" s="1"/>
  <c r="B15" i="10" s="1"/>
  <c r="E14" i="10"/>
  <c r="A14" i="10" a="1"/>
  <c r="A14" i="10" s="1"/>
  <c r="B14" i="10" s="1"/>
  <c r="E13" i="10"/>
  <c r="A13" i="10" a="1"/>
  <c r="A13" i="10" s="1"/>
  <c r="B13" i="10" s="1"/>
  <c r="E12" i="10"/>
  <c r="A12" i="10" a="1"/>
  <c r="A12" i="10" s="1"/>
  <c r="B12" i="10" s="1"/>
  <c r="A11" i="10" a="1"/>
  <c r="A11" i="10" s="1"/>
  <c r="B11" i="10" s="1"/>
  <c r="A12" i="8" a="1"/>
  <c r="A12" i="8"/>
  <c r="B12" i="8" s="1"/>
  <c r="A13" i="8" a="1"/>
  <c r="A13" i="8" s="1"/>
  <c r="B13" i="8" s="1"/>
  <c r="A14" i="8" a="1"/>
  <c r="A14" i="8"/>
  <c r="B14" i="8" s="1"/>
  <c r="A15" i="8" a="1"/>
  <c r="A15" i="8" s="1"/>
  <c r="B15" i="8" s="1"/>
  <c r="A16" i="8" a="1"/>
  <c r="A16" i="8" s="1"/>
  <c r="B16" i="8" s="1"/>
  <c r="A17" i="8" a="1"/>
  <c r="A17" i="8" s="1"/>
  <c r="B17" i="8" s="1"/>
  <c r="A18" i="8" a="1"/>
  <c r="A18" i="8"/>
  <c r="B18" i="8" s="1"/>
  <c r="A19" i="8" a="1"/>
  <c r="A19" i="8" s="1"/>
  <c r="B19" i="8" s="1"/>
  <c r="A20" i="8" a="1"/>
  <c r="A20" i="8"/>
  <c r="B20" i="8" s="1"/>
  <c r="A21" i="8" a="1"/>
  <c r="A21" i="8" s="1"/>
  <c r="B21" i="8" s="1"/>
  <c r="A22" i="8" a="1"/>
  <c r="A22" i="8" s="1"/>
  <c r="B22" i="8" s="1"/>
  <c r="A23" i="8" a="1"/>
  <c r="A23" i="8" s="1"/>
  <c r="B23" i="8" s="1"/>
  <c r="A24" i="8" a="1"/>
  <c r="A24" i="8" s="1"/>
  <c r="B24" i="8" s="1"/>
  <c r="A25" i="8" a="1"/>
  <c r="A25" i="8" s="1"/>
  <c r="B25" i="8" s="1"/>
  <c r="A26" i="8" a="1"/>
  <c r="A26" i="8" s="1"/>
  <c r="B26" i="8" s="1"/>
  <c r="A27" i="8" a="1"/>
  <c r="A27" i="8" s="1"/>
  <c r="B27" i="8" s="1"/>
  <c r="A28" i="8" a="1"/>
  <c r="A28" i="8" s="1"/>
  <c r="B28" i="8" s="1"/>
  <c r="A29" i="8" a="1"/>
  <c r="A29" i="8" s="1"/>
  <c r="B29" i="8" s="1"/>
  <c r="A30" i="8" a="1"/>
  <c r="A30" i="8" s="1"/>
  <c r="B30" i="8" s="1"/>
  <c r="A31" i="8" a="1"/>
  <c r="A31" i="8" s="1"/>
  <c r="B31" i="8" s="1"/>
  <c r="A32" i="8" a="1"/>
  <c r="A32" i="8" s="1"/>
  <c r="B32" i="8" s="1"/>
  <c r="A33" i="8" a="1"/>
  <c r="A33" i="8" s="1"/>
  <c r="B33" i="8" s="1"/>
  <c r="A34" i="8" a="1"/>
  <c r="A34" i="8" s="1"/>
  <c r="B34" i="8" s="1"/>
  <c r="A35" i="8" a="1"/>
  <c r="A35" i="8" s="1"/>
  <c r="B35" i="8" s="1"/>
  <c r="A36" i="8" a="1"/>
  <c r="A36" i="8" s="1"/>
  <c r="B36" i="8" s="1"/>
  <c r="A37" i="8" a="1"/>
  <c r="A37" i="8" s="1"/>
  <c r="B37" i="8" s="1"/>
  <c r="A38" i="8" a="1"/>
  <c r="A38" i="8" s="1"/>
  <c r="B38" i="8" s="1"/>
  <c r="A39" i="8" a="1"/>
  <c r="A39" i="8" s="1"/>
  <c r="B39" i="8" s="1"/>
  <c r="A40" i="8" a="1"/>
  <c r="A40" i="8" s="1"/>
  <c r="B40" i="8" s="1"/>
  <c r="A41" i="8" a="1"/>
  <c r="A41" i="8" s="1"/>
  <c r="B41" i="8" s="1"/>
  <c r="A42" i="8" a="1"/>
  <c r="A42" i="8" s="1"/>
  <c r="B42" i="8" s="1"/>
  <c r="A43" i="8" a="1"/>
  <c r="A43" i="8" s="1"/>
  <c r="B43" i="8" s="1"/>
  <c r="A44" i="8" a="1"/>
  <c r="A44" i="8"/>
  <c r="B44" i="8" s="1"/>
  <c r="A45" i="8" a="1"/>
  <c r="A45" i="8" s="1"/>
  <c r="B45" i="8" s="1"/>
  <c r="A46" i="8" a="1"/>
  <c r="A46" i="8"/>
  <c r="B46" i="8" s="1"/>
  <c r="A47" i="8" a="1"/>
  <c r="A47" i="8" s="1"/>
  <c r="B47" i="8" s="1"/>
  <c r="A48" i="8" a="1"/>
  <c r="A48" i="8" s="1"/>
  <c r="B48" i="8" s="1"/>
  <c r="A49" i="8" a="1"/>
  <c r="A49" i="8" s="1"/>
  <c r="B49" i="8" s="1"/>
  <c r="A50" i="8" a="1"/>
  <c r="A50" i="8" s="1"/>
  <c r="B50" i="8" s="1"/>
  <c r="A51" i="8" a="1"/>
  <c r="A51" i="8" s="1"/>
  <c r="B51" i="8" s="1"/>
  <c r="A52" i="8" a="1"/>
  <c r="A52" i="8" s="1"/>
  <c r="B52" i="8" s="1"/>
  <c r="A53" i="8" a="1"/>
  <c r="A53" i="8"/>
  <c r="B53" i="8" s="1"/>
  <c r="A54" i="8" a="1"/>
  <c r="A54" i="8" s="1"/>
  <c r="B54" i="8" s="1"/>
  <c r="A55" i="8" a="1"/>
  <c r="A55" i="8"/>
  <c r="B55" i="8" s="1"/>
  <c r="A56" i="8" a="1"/>
  <c r="A56" i="8" s="1"/>
  <c r="B56" i="8" s="1"/>
  <c r="A57" i="8" a="1"/>
  <c r="A57" i="8" s="1"/>
  <c r="B57" i="8" s="1"/>
  <c r="A58" i="8" a="1"/>
  <c r="A58" i="8" s="1"/>
  <c r="B58" i="8" s="1"/>
  <c r="A59" i="8" a="1"/>
  <c r="A59" i="8" s="1"/>
  <c r="B59" i="8" s="1"/>
  <c r="A60" i="8" a="1"/>
  <c r="A60" i="8" s="1"/>
  <c r="B60" i="8" s="1"/>
  <c r="A61" i="8" a="1"/>
  <c r="A61" i="8" s="1"/>
  <c r="B61" i="8" s="1"/>
  <c r="A62" i="8" a="1"/>
  <c r="A62" i="8" s="1"/>
  <c r="B62" i="8" s="1"/>
  <c r="A63" i="8" a="1"/>
  <c r="A63" i="8" s="1"/>
  <c r="B63" i="8" s="1"/>
  <c r="A64" i="8" a="1"/>
  <c r="A64" i="8" s="1"/>
  <c r="B64" i="8" s="1"/>
  <c r="A65" i="8" a="1"/>
  <c r="A65" i="8" s="1"/>
  <c r="B65" i="8" s="1"/>
  <c r="A66" i="8" a="1"/>
  <c r="A66" i="8" s="1"/>
  <c r="B66" i="8" s="1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D13" i="8"/>
  <c r="D17" i="8"/>
  <c r="D20" i="8"/>
  <c r="D23" i="8"/>
  <c r="D25" i="8"/>
  <c r="D31" i="8"/>
  <c r="D32" i="8"/>
  <c r="D37" i="8"/>
  <c r="D38" i="8"/>
  <c r="D51" i="8"/>
  <c r="D56" i="8"/>
  <c r="D59" i="8"/>
  <c r="D60" i="8"/>
  <c r="D63" i="8"/>
  <c r="D66" i="8"/>
  <c r="C15" i="8"/>
  <c r="C16" i="8"/>
  <c r="C18" i="8"/>
  <c r="C23" i="8"/>
  <c r="C24" i="8"/>
  <c r="C29" i="8"/>
  <c r="C32" i="8"/>
  <c r="C40" i="8"/>
  <c r="C45" i="8"/>
  <c r="C46" i="8"/>
  <c r="C47" i="8"/>
  <c r="C50" i="8"/>
  <c r="C51" i="8"/>
  <c r="C53" i="8"/>
  <c r="C56" i="8"/>
  <c r="C64" i="8"/>
  <c r="C65" i="8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B11" i="1"/>
  <c r="B12" i="1"/>
  <c r="B13" i="1"/>
  <c r="B14" i="1"/>
  <c r="B15" i="1"/>
  <c r="B16" i="1"/>
  <c r="B18" i="1"/>
  <c r="B19" i="1"/>
  <c r="B20" i="1"/>
  <c r="B21" i="1"/>
  <c r="B22" i="1"/>
  <c r="B23" i="1"/>
  <c r="B24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N14" i="8" a="1"/>
  <c r="N17" i="8" a="1"/>
  <c r="N20" i="8" a="1"/>
  <c r="N23" i="8" a="1"/>
  <c r="N26" i="8" a="1"/>
  <c r="N29" i="8" a="1"/>
  <c r="N32" i="8" a="1"/>
  <c r="N35" i="8" a="1"/>
  <c r="M15" i="8" a="1"/>
  <c r="M18" i="8" a="1"/>
  <c r="M21" i="8" a="1"/>
  <c r="M24" i="8" a="1"/>
  <c r="M27" i="8" a="1"/>
  <c r="M30" i="8" a="1"/>
  <c r="M33" i="8" a="1"/>
  <c r="M36" i="8" a="1"/>
  <c r="N36" i="10" a="1"/>
  <c r="N35" i="10" a="1"/>
  <c r="N34" i="10" a="1"/>
  <c r="N33" i="10" a="1"/>
  <c r="N32" i="10" a="1"/>
  <c r="N31" i="10" a="1"/>
  <c r="N30" i="10" a="1"/>
  <c r="N29" i="10" a="1"/>
  <c r="N28" i="10" a="1"/>
  <c r="N27" i="10" a="1"/>
  <c r="N26" i="10" a="1"/>
  <c r="N25" i="10" a="1"/>
  <c r="N24" i="10" a="1"/>
  <c r="N23" i="10" a="1"/>
  <c r="N22" i="10" a="1"/>
  <c r="N21" i="10" a="1"/>
  <c r="N20" i="10" a="1"/>
  <c r="N19" i="10" a="1"/>
  <c r="N18" i="10" a="1"/>
  <c r="N17" i="10" a="1"/>
  <c r="N16" i="10" a="1"/>
  <c r="N15" i="10" a="1"/>
  <c r="N14" i="10" a="1"/>
  <c r="N16" i="8" a="1"/>
  <c r="N18" i="8" a="1"/>
  <c r="N25" i="8" a="1"/>
  <c r="N27" i="8" a="1"/>
  <c r="N34" i="8" a="1"/>
  <c r="N36" i="8" a="1"/>
  <c r="M20" i="8" a="1"/>
  <c r="M22" i="8" a="1"/>
  <c r="M29" i="8" a="1"/>
  <c r="M31" i="8" a="1"/>
  <c r="N19" i="8" a="1"/>
  <c r="N21" i="8" a="1"/>
  <c r="N28" i="8" a="1"/>
  <c r="N30" i="8" a="1"/>
  <c r="M14" i="8" a="1"/>
  <c r="M16" i="8" a="1"/>
  <c r="M23" i="8" a="1"/>
  <c r="M25" i="8" a="1"/>
  <c r="M32" i="8" a="1"/>
  <c r="M34" i="8" a="1"/>
  <c r="O36" i="10" a="1"/>
  <c r="O35" i="10" a="1"/>
  <c r="O34" i="10" a="1"/>
  <c r="O33" i="10" a="1"/>
  <c r="O32" i="10" a="1"/>
  <c r="O31" i="10" a="1"/>
  <c r="O30" i="10" a="1"/>
  <c r="O29" i="10" a="1"/>
  <c r="O28" i="10" a="1"/>
  <c r="O27" i="10" a="1"/>
  <c r="O26" i="10" a="1"/>
  <c r="O25" i="10" a="1"/>
  <c r="O24" i="10" a="1"/>
  <c r="O23" i="10" a="1"/>
  <c r="O22" i="10" a="1"/>
  <c r="O21" i="10" a="1"/>
  <c r="O20" i="10" a="1"/>
  <c r="O19" i="10" a="1"/>
  <c r="O18" i="10" a="1"/>
  <c r="O17" i="10" a="1"/>
  <c r="O16" i="10" a="1"/>
  <c r="O15" i="10" a="1"/>
  <c r="O14" i="10" a="1"/>
  <c r="N15" i="8" a="1"/>
  <c r="N22" i="8" a="1"/>
  <c r="N24" i="8" a="1"/>
  <c r="N31" i="8" a="1"/>
  <c r="N33" i="8" a="1"/>
  <c r="M17" i="8" a="1"/>
  <c r="M19" i="8" a="1"/>
  <c r="M26" i="8" a="1"/>
  <c r="M28" i="8" a="1"/>
  <c r="M35" i="8" a="1"/>
  <c r="BD12" i="20" l="1"/>
  <c r="BE12" i="20"/>
  <c r="BD18" i="20"/>
  <c r="BE18" i="20"/>
  <c r="BD17" i="20"/>
  <c r="BE17" i="20"/>
  <c r="BD16" i="20"/>
  <c r="BE16" i="20"/>
  <c r="BD15" i="20"/>
  <c r="BE15" i="20"/>
  <c r="BD14" i="20"/>
  <c r="BE14" i="20"/>
  <c r="BD13" i="20"/>
  <c r="BE13" i="20"/>
  <c r="BC11" i="20"/>
  <c r="BD11" i="20"/>
  <c r="BB12" i="20"/>
  <c r="BC12" i="20"/>
  <c r="BB18" i="20"/>
  <c r="BC18" i="20"/>
  <c r="BB17" i="20"/>
  <c r="BC17" i="20"/>
  <c r="BB16" i="20"/>
  <c r="BC16" i="20"/>
  <c r="BB15" i="20"/>
  <c r="BC15" i="20"/>
  <c r="BB14" i="20"/>
  <c r="BC14" i="20"/>
  <c r="BB13" i="20"/>
  <c r="BC13" i="20"/>
  <c r="BA11" i="20"/>
  <c r="BB11" i="20"/>
  <c r="AZ12" i="20"/>
  <c r="BA12" i="20"/>
  <c r="AZ18" i="20"/>
  <c r="BA18" i="20"/>
  <c r="AZ17" i="20"/>
  <c r="BA17" i="20"/>
  <c r="AZ16" i="20"/>
  <c r="BA16" i="20"/>
  <c r="AZ15" i="20"/>
  <c r="BA15" i="20"/>
  <c r="AZ14" i="20"/>
  <c r="BA14" i="20"/>
  <c r="AZ13" i="20"/>
  <c r="BA13" i="20"/>
  <c r="AY11" i="20"/>
  <c r="AZ11" i="20"/>
  <c r="AX12" i="20"/>
  <c r="AY12" i="20"/>
  <c r="AX18" i="20"/>
  <c r="AY18" i="20"/>
  <c r="AX17" i="20"/>
  <c r="AY17" i="20"/>
  <c r="AX16" i="20"/>
  <c r="AY16" i="20"/>
  <c r="AX15" i="20"/>
  <c r="AY15" i="20"/>
  <c r="AX14" i="20"/>
  <c r="AY14" i="20"/>
  <c r="AX13" i="20"/>
  <c r="AY13" i="20"/>
  <c r="AW11" i="20"/>
  <c r="AX11" i="20"/>
  <c r="AV12" i="20"/>
  <c r="AW12" i="20"/>
  <c r="AV18" i="20"/>
  <c r="AW18" i="20"/>
  <c r="AV17" i="20"/>
  <c r="AW17" i="20"/>
  <c r="AV16" i="20"/>
  <c r="AW16" i="20"/>
  <c r="AV15" i="20"/>
  <c r="AW15" i="20"/>
  <c r="AV14" i="20"/>
  <c r="AW14" i="20"/>
  <c r="AV13" i="20"/>
  <c r="AW13" i="20"/>
  <c r="AU11" i="20"/>
  <c r="AV11" i="20"/>
  <c r="AU18" i="20"/>
  <c r="AT18" i="20"/>
  <c r="AS18" i="20"/>
  <c r="AR18" i="20"/>
  <c r="AQ18" i="20"/>
  <c r="AP18" i="20"/>
  <c r="AO18" i="20"/>
  <c r="AU17" i="20"/>
  <c r="AT17" i="20"/>
  <c r="AS17" i="20"/>
  <c r="AR17" i="20"/>
  <c r="AQ17" i="20"/>
  <c r="AP17" i="20"/>
  <c r="AO17" i="20"/>
  <c r="AU16" i="20"/>
  <c r="AT16" i="20"/>
  <c r="AS16" i="20"/>
  <c r="AR16" i="20"/>
  <c r="AQ16" i="20"/>
  <c r="AP16" i="20"/>
  <c r="AO16" i="20"/>
  <c r="AU15" i="20"/>
  <c r="AT15" i="20"/>
  <c r="AS15" i="20"/>
  <c r="AR15" i="20"/>
  <c r="AQ15" i="20"/>
  <c r="AP15" i="20"/>
  <c r="AO15" i="20"/>
  <c r="AU14" i="20"/>
  <c r="AT14" i="20"/>
  <c r="AS14" i="20"/>
  <c r="AR14" i="20"/>
  <c r="AQ14" i="20"/>
  <c r="AP14" i="20"/>
  <c r="AO14" i="20"/>
  <c r="AU13" i="20"/>
  <c r="AT13" i="20"/>
  <c r="AS13" i="20"/>
  <c r="AR13" i="20"/>
  <c r="AQ13" i="20"/>
  <c r="AP13" i="20"/>
  <c r="AO13" i="20"/>
  <c r="AU12" i="20"/>
  <c r="AT12" i="20"/>
  <c r="AS12" i="20"/>
  <c r="AR12" i="20"/>
  <c r="AQ12" i="20"/>
  <c r="AP12" i="20"/>
  <c r="AO12" i="20"/>
  <c r="O30" i="25"/>
  <c r="L30" i="25"/>
  <c r="K30" i="25"/>
  <c r="P30" i="25"/>
  <c r="N30" i="25"/>
  <c r="M30" i="25"/>
  <c r="J30" i="25"/>
  <c r="I30" i="25"/>
  <c r="H30" i="25"/>
  <c r="AT11" i="20"/>
  <c r="AS11" i="20"/>
  <c r="AR11" i="20"/>
  <c r="AQ11" i="20"/>
  <c r="AP11" i="20"/>
  <c r="AO11" i="20"/>
  <c r="J24" i="28" a="1"/>
  <c r="J24" i="28" s="1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B27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B26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B25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B23" i="25"/>
  <c r="F30" i="25"/>
  <c r="G30" i="25"/>
  <c r="B30" i="25"/>
  <c r="Q30" i="25"/>
  <c r="B31" i="28" a="1"/>
  <c r="B31" i="28" s="1"/>
  <c r="C31" i="28" s="1"/>
  <c r="G11" i="28" a="1"/>
  <c r="G11" i="28" s="1"/>
  <c r="F11" i="28" a="1"/>
  <c r="F11" i="28" s="1"/>
  <c r="B32" i="28" a="1"/>
  <c r="B32" i="28" s="1"/>
  <c r="C32" i="28" s="1"/>
  <c r="F12" i="28" a="1"/>
  <c r="F12" i="28" s="1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B20" i="28"/>
  <c r="B33" i="28" a="1"/>
  <c r="B33" i="28" s="1"/>
  <c r="C33" i="28" s="1"/>
  <c r="F13" i="28" a="1"/>
  <c r="F13" i="28" s="1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B21" i="28"/>
  <c r="B34" i="28" a="1"/>
  <c r="B34" i="28" s="1"/>
  <c r="C34" i="28" s="1"/>
  <c r="F14" i="28" a="1"/>
  <c r="F14" i="28" s="1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B22" i="28"/>
  <c r="B35" i="28" a="1"/>
  <c r="B35" i="28" s="1"/>
  <c r="C35" i="28" s="1"/>
  <c r="F15" i="28" a="1"/>
  <c r="F15" i="28" s="1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B23" i="28"/>
  <c r="Q26" i="28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B29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C30" i="24"/>
  <c r="B30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C31" i="24"/>
  <c r="B31" i="24"/>
  <c r="Q34" i="24"/>
  <c r="G11" i="21" a="1"/>
  <c r="L14" i="21" a="1"/>
  <c r="L14" i="21" s="1"/>
  <c r="L13" i="21" a="1"/>
  <c r="L13" i="21" s="1"/>
  <c r="J11" i="21" a="1"/>
  <c r="J11" i="21" s="1"/>
  <c r="J12" i="21" a="1"/>
  <c r="J12" i="21" s="1"/>
  <c r="G11" i="21"/>
  <c r="I11" i="21" s="1" a="1"/>
  <c r="I11" i="21" s="1"/>
  <c r="I12" i="21" a="1"/>
  <c r="I12" i="21" s="1"/>
  <c r="N11" i="18" a="1"/>
  <c r="N11" i="18" s="1"/>
  <c r="S15" i="23" a="1"/>
  <c r="S15" i="23" s="1"/>
  <c r="R15" i="23" a="1"/>
  <c r="R15" i="23" s="1"/>
  <c r="Q15" i="23" a="1"/>
  <c r="Q15" i="23" s="1"/>
  <c r="S14" i="23" a="1"/>
  <c r="S14" i="23" s="1"/>
  <c r="R14" i="23" a="1"/>
  <c r="R14" i="23" s="1"/>
  <c r="Q14" i="23" a="1"/>
  <c r="Q14" i="23" s="1"/>
  <c r="S13" i="23" a="1"/>
  <c r="S13" i="23" s="1"/>
  <c r="R13" i="23" a="1"/>
  <c r="R13" i="23" s="1"/>
  <c r="Q13" i="23" a="1"/>
  <c r="Q13" i="23" s="1"/>
  <c r="S12" i="23" a="1"/>
  <c r="S12" i="23" s="1"/>
  <c r="R12" i="23" a="1"/>
  <c r="R12" i="23" s="1"/>
  <c r="Q12" i="23" a="1"/>
  <c r="Q12" i="23" s="1"/>
  <c r="S11" i="23" a="1"/>
  <c r="S11" i="23" s="1"/>
  <c r="R11" i="23" a="1"/>
  <c r="R11" i="23" s="1"/>
  <c r="N11" i="23"/>
  <c r="Q11" i="23" s="1" a="1"/>
  <c r="Q11" i="23" s="1"/>
  <c r="R20" i="19"/>
  <c r="T20" i="22"/>
  <c r="R44" i="19"/>
  <c r="T44" i="22"/>
  <c r="R26" i="19"/>
  <c r="T26" i="22"/>
  <c r="R25" i="19"/>
  <c r="T25" i="22"/>
  <c r="R23" i="19"/>
  <c r="T23" i="22"/>
  <c r="R21" i="19"/>
  <c r="T21" i="22"/>
  <c r="R17" i="19"/>
  <c r="T17" i="22"/>
  <c r="R14" i="19"/>
  <c r="T14" i="22"/>
  <c r="C34" i="10"/>
  <c r="C34" i="8"/>
  <c r="D52" i="10"/>
  <c r="G52" i="2" a="1"/>
  <c r="G52" i="2" s="1"/>
  <c r="D28" i="8"/>
  <c r="D28" i="10"/>
  <c r="C38" i="8"/>
  <c r="C26" i="8"/>
  <c r="D11" i="8"/>
  <c r="C23" i="10"/>
  <c r="C26" i="10"/>
  <c r="C38" i="10"/>
  <c r="C44" i="10"/>
  <c r="C46" i="10"/>
  <c r="G32" i="2" a="1"/>
  <c r="G32" i="2" s="1"/>
  <c r="C62" i="8"/>
  <c r="D61" i="8"/>
  <c r="D58" i="8"/>
  <c r="D34" i="8"/>
  <c r="D21" i="8"/>
  <c r="D14" i="8"/>
  <c r="D14" i="10"/>
  <c r="G58" i="2" a="1"/>
  <c r="G58" i="2" s="1"/>
  <c r="E27" i="2" a="1"/>
  <c r="E27" i="2" s="1"/>
  <c r="C27" i="8"/>
  <c r="C27" i="10"/>
  <c r="D22" i="8"/>
  <c r="G22" i="2" a="1"/>
  <c r="G22" i="2" s="1"/>
  <c r="D22" i="10"/>
  <c r="C31" i="10"/>
  <c r="C31" i="8"/>
  <c r="G24" i="2" a="1"/>
  <c r="G24" i="2" s="1"/>
  <c r="D24" i="10"/>
  <c r="D24" i="8"/>
  <c r="E33" i="2" a="1"/>
  <c r="E33" i="2" s="1"/>
  <c r="C33" i="8"/>
  <c r="E25" i="2" a="1"/>
  <c r="E25" i="2" s="1"/>
  <c r="C25" i="8"/>
  <c r="C25" i="10"/>
  <c r="D48" i="8"/>
  <c r="D26" i="8"/>
  <c r="D54" i="10"/>
  <c r="G54" i="2" a="1"/>
  <c r="G54" i="2" s="1"/>
  <c r="D35" i="10"/>
  <c r="D35" i="8"/>
  <c r="G13" i="2" a="1"/>
  <c r="G13" i="2" s="1"/>
  <c r="D13" i="10"/>
  <c r="E37" i="2" a="1"/>
  <c r="E37" i="2" s="1"/>
  <c r="C37" i="10"/>
  <c r="E20" i="2" a="1"/>
  <c r="E20" i="2" s="1"/>
  <c r="C20" i="10"/>
  <c r="E17" i="2" a="1"/>
  <c r="E17" i="2" s="1"/>
  <c r="C17" i="10"/>
  <c r="C17" i="8"/>
  <c r="E14" i="2" a="1"/>
  <c r="E14" i="2" s="1"/>
  <c r="C14" i="10"/>
  <c r="C14" i="8"/>
  <c r="G39" i="2" a="1"/>
  <c r="G39" i="2" s="1"/>
  <c r="D39" i="8"/>
  <c r="G19" i="2" a="1"/>
  <c r="G19" i="2" s="1"/>
  <c r="D19" i="10"/>
  <c r="D19" i="8"/>
  <c r="E49" i="2" a="1"/>
  <c r="E49" i="2" s="1"/>
  <c r="C49" i="8"/>
  <c r="G42" i="2" a="1"/>
  <c r="G42" i="2" s="1"/>
  <c r="D42" i="10"/>
  <c r="C44" i="8"/>
  <c r="D52" i="8"/>
  <c r="D45" i="8"/>
  <c r="D33" i="8"/>
  <c r="D30" i="8"/>
  <c r="D16" i="8"/>
  <c r="G16" i="2" a="1"/>
  <c r="G16" i="2" s="1"/>
  <c r="D29" i="10"/>
  <c r="D29" i="8"/>
  <c r="G15" i="2" a="1"/>
  <c r="G15" i="2" s="1"/>
  <c r="D15" i="8"/>
  <c r="E61" i="2" a="1"/>
  <c r="E61" i="2" s="1"/>
  <c r="C61" i="10"/>
  <c r="E59" i="2" a="1"/>
  <c r="E59" i="2" s="1"/>
  <c r="C59" i="10"/>
  <c r="C59" i="8"/>
  <c r="E36" i="2" a="1"/>
  <c r="E36" i="2" s="1"/>
  <c r="C36" i="10"/>
  <c r="C28" i="10"/>
  <c r="C28" i="8"/>
  <c r="E22" i="2" a="1"/>
  <c r="E22" i="2" s="1"/>
  <c r="C22" i="8"/>
  <c r="D49" i="10"/>
  <c r="G49" i="2" a="1"/>
  <c r="G49" i="2" s="1"/>
  <c r="D49" i="8"/>
  <c r="D40" i="10"/>
  <c r="G40" i="2" a="1"/>
  <c r="G40" i="2" s="1"/>
  <c r="D40" i="8"/>
  <c r="E19" i="2" a="1"/>
  <c r="E19" i="2" s="1"/>
  <c r="C19" i="10"/>
  <c r="C19" i="8"/>
  <c r="E58" i="2" a="1"/>
  <c r="E58" i="2" s="1"/>
  <c r="C58" i="10"/>
  <c r="C58" i="8"/>
  <c r="G43" i="2" a="1"/>
  <c r="G43" i="2" s="1"/>
  <c r="D43" i="10"/>
  <c r="D43" i="8"/>
  <c r="E52" i="2" a="1"/>
  <c r="E52" i="2" s="1"/>
  <c r="C52" i="10"/>
  <c r="C52" i="8"/>
  <c r="D17" i="10"/>
  <c r="D25" i="10"/>
  <c r="C33" i="10"/>
  <c r="G11" i="2" a="1"/>
  <c r="G11" i="2" s="1"/>
  <c r="O33" i="2"/>
  <c r="G33" i="2" s="1" a="1"/>
  <c r="G33" i="2" s="1"/>
  <c r="E43" i="2" a="1"/>
  <c r="E43" i="2" s="1"/>
  <c r="C43" i="10"/>
  <c r="E41" i="2" a="1"/>
  <c r="E41" i="2" s="1"/>
  <c r="C41" i="10"/>
  <c r="E56" i="2" a="1"/>
  <c r="E56" i="2" s="1"/>
  <c r="C56" i="10"/>
  <c r="G57" i="2" a="1"/>
  <c r="G57" i="2" s="1"/>
  <c r="D57" i="10"/>
  <c r="E55" i="2" a="1"/>
  <c r="E55" i="2" s="1"/>
  <c r="C55" i="10"/>
  <c r="E35" i="2" a="1"/>
  <c r="E35" i="2" s="1"/>
  <c r="O35" i="2"/>
  <c r="G35" i="2" s="1" a="1"/>
  <c r="G35" i="2" s="1"/>
  <c r="C35" i="10"/>
  <c r="E29" i="2" a="1"/>
  <c r="E29" i="2" s="1"/>
  <c r="O29" i="2"/>
  <c r="G29" i="2" s="1" a="1"/>
  <c r="G29" i="2" s="1"/>
  <c r="M35" i="8"/>
  <c r="M28" i="8"/>
  <c r="M26" i="8"/>
  <c r="M19" i="8"/>
  <c r="M17" i="8"/>
  <c r="N33" i="8"/>
  <c r="N31" i="8"/>
  <c r="N24" i="8"/>
  <c r="N22" i="8"/>
  <c r="N15" i="8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M34" i="8"/>
  <c r="M32" i="8"/>
  <c r="M25" i="8"/>
  <c r="M23" i="8"/>
  <c r="M16" i="8"/>
  <c r="M14" i="8"/>
  <c r="N30" i="8"/>
  <c r="N28" i="8"/>
  <c r="N21" i="8"/>
  <c r="N19" i="8"/>
  <c r="M31" i="8"/>
  <c r="M29" i="8"/>
  <c r="M22" i="8"/>
  <c r="M20" i="8"/>
  <c r="N36" i="8"/>
  <c r="N34" i="8"/>
  <c r="N27" i="8"/>
  <c r="N25" i="8"/>
  <c r="N18" i="8"/>
  <c r="N16" i="8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M36" i="8"/>
  <c r="M33" i="8"/>
  <c r="M30" i="8"/>
  <c r="M27" i="8"/>
  <c r="M24" i="8"/>
  <c r="M21" i="8"/>
  <c r="M18" i="8"/>
  <c r="M15" i="8"/>
  <c r="N35" i="8"/>
  <c r="N32" i="8"/>
  <c r="N29" i="8"/>
  <c r="N26" i="8"/>
  <c r="N23" i="8"/>
  <c r="N20" i="8"/>
  <c r="N17" i="8"/>
  <c r="N14" i="8"/>
  <c r="T17" i="6"/>
  <c r="G46" i="2" a="1"/>
  <c r="G46" i="2" s="1"/>
  <c r="D46" i="8"/>
  <c r="D46" i="10"/>
  <c r="G27" i="2" a="1"/>
  <c r="G27" i="2" s="1"/>
  <c r="D27" i="8"/>
  <c r="D27" i="10"/>
  <c r="E57" i="2" a="1"/>
  <c r="E57" i="2" s="1"/>
  <c r="C57" i="10"/>
  <c r="C57" i="8"/>
  <c r="T26" i="6"/>
  <c r="G64" i="2" a="1"/>
  <c r="G64" i="2" s="1"/>
  <c r="D64" i="8"/>
  <c r="D64" i="10"/>
  <c r="E39" i="2" a="1"/>
  <c r="E39" i="2" s="1"/>
  <c r="C39" i="10"/>
  <c r="C39" i="8"/>
  <c r="E21" i="2" a="1"/>
  <c r="E21" i="2" s="1"/>
  <c r="C21" i="10"/>
  <c r="C21" i="8"/>
  <c r="E11" i="2" a="1"/>
  <c r="E11" i="2" s="1"/>
  <c r="C11" i="8"/>
  <c r="C11" i="10"/>
  <c r="G55" i="2" a="1"/>
  <c r="G55" i="2" s="1"/>
  <c r="D55" i="8"/>
  <c r="D55" i="10"/>
  <c r="G36" i="2" a="1"/>
  <c r="G36" i="2" s="1"/>
  <c r="D36" i="8"/>
  <c r="D36" i="10"/>
  <c r="G18" i="2" a="1"/>
  <c r="G18" i="2" s="1"/>
  <c r="D18" i="8"/>
  <c r="D18" i="10"/>
  <c r="E66" i="2" a="1"/>
  <c r="E66" i="2" s="1"/>
  <c r="C66" i="10"/>
  <c r="C66" i="8"/>
  <c r="E48" i="2" a="1"/>
  <c r="E48" i="2" s="1"/>
  <c r="C48" i="10"/>
  <c r="C48" i="8"/>
  <c r="E30" i="2" a="1"/>
  <c r="E30" i="2" s="1"/>
  <c r="O30" i="2"/>
  <c r="G30" i="2" s="1" a="1"/>
  <c r="G30" i="2" s="1"/>
  <c r="C30" i="10"/>
  <c r="C30" i="8"/>
  <c r="E12" i="2" a="1"/>
  <c r="E12" i="2" s="1"/>
  <c r="C12" i="10"/>
  <c r="C12" i="8"/>
  <c r="T44" i="6"/>
  <c r="T25" i="6"/>
  <c r="T20" i="6"/>
  <c r="T16" i="6"/>
  <c r="T11" i="6"/>
  <c r="G59" i="2" a="1"/>
  <c r="G59" i="2" s="1"/>
  <c r="D59" i="10"/>
  <c r="G50" i="2" a="1"/>
  <c r="G50" i="2" s="1"/>
  <c r="D50" i="10"/>
  <c r="E63" i="2" a="1"/>
  <c r="E63" i="2" s="1"/>
  <c r="C63" i="10"/>
  <c r="E54" i="2" a="1"/>
  <c r="E54" i="2" s="1"/>
  <c r="C54" i="10"/>
  <c r="E45" i="2" a="1"/>
  <c r="E45" i="2" s="1"/>
  <c r="C45" i="10"/>
  <c r="E34" i="2" a="1"/>
  <c r="E34" i="2" s="1"/>
  <c r="O34" i="2"/>
  <c r="G34" i="2" s="1" a="1"/>
  <c r="G34" i="2" s="1"/>
  <c r="T46" i="6"/>
  <c r="T24" i="6"/>
  <c r="T22" i="6"/>
  <c r="T15" i="6"/>
  <c r="T13" i="6"/>
  <c r="G62" i="2" a="1"/>
  <c r="G62" i="2" s="1"/>
  <c r="D62" i="10"/>
  <c r="G53" i="2" a="1"/>
  <c r="G53" i="2" s="1"/>
  <c r="D53" i="10"/>
  <c r="G44" i="2" a="1"/>
  <c r="G44" i="2" s="1"/>
  <c r="D44" i="10"/>
  <c r="G38" i="2" a="1"/>
  <c r="G38" i="2" s="1"/>
  <c r="D38" i="10"/>
  <c r="E28" i="2" a="1"/>
  <c r="E28" i="2" s="1"/>
  <c r="O28" i="2"/>
  <c r="G28" i="2" s="1" a="1"/>
  <c r="G28" i="2" s="1"/>
  <c r="T31" i="6"/>
  <c r="T38" i="6"/>
  <c r="T36" i="6"/>
  <c r="T47" i="6"/>
  <c r="T23" i="6"/>
  <c r="T21" i="6"/>
  <c r="T19" i="6"/>
  <c r="T14" i="6"/>
  <c r="G65" i="2" a="1"/>
  <c r="G65" i="2" s="1"/>
  <c r="D65" i="10"/>
  <c r="G56" i="2" a="1"/>
  <c r="G56" i="2" s="1"/>
  <c r="D56" i="10"/>
  <c r="G47" i="2" a="1"/>
  <c r="G47" i="2" s="1"/>
  <c r="D47" i="10"/>
  <c r="G41" i="2" a="1"/>
  <c r="G41" i="2" s="1"/>
  <c r="D41" i="10"/>
  <c r="G12" i="2" a="1"/>
  <c r="G12" i="2" s="1"/>
  <c r="D12" i="10"/>
  <c r="E60" i="2" a="1"/>
  <c r="E60" i="2" s="1"/>
  <c r="C60" i="10"/>
  <c r="E51" i="2" a="1"/>
  <c r="E51" i="2" s="1"/>
  <c r="C51" i="10"/>
  <c r="E42" i="2" a="1"/>
  <c r="E42" i="2" s="1"/>
  <c r="C42" i="10"/>
  <c r="E31" i="2" a="1"/>
  <c r="E31" i="2" s="1"/>
  <c r="O31" i="2"/>
  <c r="G31" i="2" s="1" a="1"/>
  <c r="G31" i="2" s="1"/>
  <c r="E13" i="2" a="1"/>
  <c r="E13" i="2" s="1"/>
  <c r="C13" i="10"/>
  <c r="T52" i="6"/>
  <c r="T51" i="6"/>
  <c r="T53" i="6"/>
  <c r="T48" i="6"/>
  <c r="T42" i="6"/>
  <c r="T37" i="6"/>
  <c r="I11" i="2"/>
  <c r="J11" i="2"/>
  <c r="I66" i="2"/>
  <c r="J66" i="2"/>
  <c r="I65" i="2"/>
  <c r="J65" i="2"/>
  <c r="I64" i="2"/>
  <c r="J64" i="2"/>
  <c r="I63" i="2"/>
  <c r="J63" i="2"/>
  <c r="I62" i="2"/>
  <c r="J62" i="2"/>
  <c r="I61" i="2"/>
  <c r="J61" i="2"/>
  <c r="I60" i="2"/>
  <c r="J60" i="2"/>
  <c r="I59" i="2"/>
  <c r="J59" i="2"/>
  <c r="I58" i="2"/>
  <c r="J58" i="2"/>
  <c r="I57" i="2"/>
  <c r="J57" i="2"/>
  <c r="I56" i="2"/>
  <c r="J56" i="2"/>
  <c r="I55" i="2"/>
  <c r="J55" i="2"/>
  <c r="I54" i="2"/>
  <c r="J54" i="2"/>
  <c r="I53" i="2"/>
  <c r="J53" i="2"/>
  <c r="I52" i="2"/>
  <c r="J52" i="2"/>
  <c r="I51" i="2"/>
  <c r="J51" i="2"/>
  <c r="I50" i="2"/>
  <c r="J50" i="2"/>
  <c r="I49" i="2"/>
  <c r="J49" i="2"/>
  <c r="I48" i="2"/>
  <c r="J48" i="2"/>
  <c r="I47" i="2"/>
  <c r="J47" i="2"/>
  <c r="I46" i="2"/>
  <c r="J46" i="2"/>
  <c r="I45" i="2"/>
  <c r="J45" i="2"/>
  <c r="I44" i="2"/>
  <c r="J44" i="2"/>
  <c r="I43" i="2"/>
  <c r="J43" i="2"/>
  <c r="I42" i="2"/>
  <c r="J42" i="2"/>
  <c r="I41" i="2"/>
  <c r="J41" i="2"/>
  <c r="I40" i="2"/>
  <c r="J40" i="2"/>
  <c r="I39" i="2"/>
  <c r="J39" i="2"/>
  <c r="I38" i="2"/>
  <c r="J38" i="2"/>
  <c r="I37" i="2"/>
  <c r="J37" i="2"/>
  <c r="I36" i="2"/>
  <c r="J36" i="2"/>
  <c r="I35" i="2"/>
  <c r="J35" i="2"/>
  <c r="I34" i="2"/>
  <c r="J34" i="2"/>
  <c r="I33" i="2"/>
  <c r="J33" i="2"/>
  <c r="I32" i="2"/>
  <c r="J32" i="2"/>
  <c r="I31" i="2"/>
  <c r="J31" i="2"/>
  <c r="I30" i="2"/>
  <c r="J30" i="2"/>
  <c r="I29" i="2"/>
  <c r="J29" i="2"/>
  <c r="I28" i="2"/>
  <c r="J28" i="2"/>
  <c r="I27" i="2"/>
  <c r="J27" i="2"/>
  <c r="I26" i="2"/>
  <c r="J26" i="2"/>
  <c r="I25" i="2"/>
  <c r="J25" i="2"/>
  <c r="I24" i="2"/>
  <c r="J24" i="2"/>
  <c r="I23" i="2"/>
  <c r="J23" i="2"/>
  <c r="I22" i="2"/>
  <c r="J22" i="2"/>
  <c r="I21" i="2"/>
  <c r="J21" i="2"/>
  <c r="I20" i="2"/>
  <c r="J20" i="2"/>
  <c r="I19" i="2"/>
  <c r="J19" i="2"/>
  <c r="I18" i="2"/>
  <c r="J18" i="2"/>
  <c r="I17" i="2"/>
  <c r="J17" i="2"/>
  <c r="I16" i="2"/>
  <c r="J16" i="2"/>
  <c r="I15" i="2"/>
  <c r="J15" i="2"/>
  <c r="I14" i="2"/>
  <c r="J14" i="2"/>
  <c r="I13" i="2"/>
  <c r="J13" i="2"/>
  <c r="I12" i="2"/>
  <c r="J12" i="2"/>
  <c r="H66" i="10"/>
  <c r="H65" i="10"/>
  <c r="I65" i="10" s="1"/>
  <c r="H64" i="10"/>
  <c r="I64" i="10" s="1"/>
  <c r="H63" i="10"/>
  <c r="H62" i="10"/>
  <c r="J62" i="10" s="1"/>
  <c r="H61" i="10"/>
  <c r="I61" i="10" s="1"/>
  <c r="H60" i="10"/>
  <c r="I60" i="10" s="1"/>
  <c r="H59" i="10"/>
  <c r="I59" i="10" s="1"/>
  <c r="H58" i="10"/>
  <c r="I58" i="10" s="1"/>
  <c r="H57" i="10"/>
  <c r="I57" i="10" s="1"/>
  <c r="H56" i="10"/>
  <c r="I56" i="10" s="1"/>
  <c r="H55" i="10"/>
  <c r="I55" i="10" s="1"/>
  <c r="H54" i="10"/>
  <c r="H53" i="10"/>
  <c r="J53" i="10" s="1"/>
  <c r="H52" i="10"/>
  <c r="I52" i="10" s="1"/>
  <c r="H51" i="10"/>
  <c r="H50" i="10"/>
  <c r="I50" i="10" s="1"/>
  <c r="H49" i="10"/>
  <c r="I49" i="10" s="1"/>
  <c r="H48" i="10"/>
  <c r="I48" i="10" s="1"/>
  <c r="H47" i="10"/>
  <c r="J47" i="10" s="1"/>
  <c r="H46" i="10"/>
  <c r="I46" i="10" s="1"/>
  <c r="H45" i="10"/>
  <c r="I45" i="10" s="1"/>
  <c r="H44" i="10"/>
  <c r="J44" i="10" s="1"/>
  <c r="H43" i="10"/>
  <c r="J43" i="10" s="1"/>
  <c r="H42" i="10"/>
  <c r="I42" i="10" s="1"/>
  <c r="H41" i="10"/>
  <c r="J41" i="10" s="1"/>
  <c r="H40" i="10"/>
  <c r="J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J34" i="10" s="1"/>
  <c r="H33" i="10"/>
  <c r="I33" i="10" s="1"/>
  <c r="H32" i="10"/>
  <c r="J32" i="10" s="1"/>
  <c r="H31" i="10"/>
  <c r="J31" i="10" s="1"/>
  <c r="H30" i="10"/>
  <c r="I30" i="10" s="1"/>
  <c r="H29" i="10"/>
  <c r="I29" i="10" s="1"/>
  <c r="H28" i="10"/>
  <c r="I28" i="10" s="1"/>
  <c r="H27" i="10"/>
  <c r="I27" i="10" s="1"/>
  <c r="H26" i="10"/>
  <c r="I26" i="10" s="1"/>
  <c r="H25" i="10"/>
  <c r="J25" i="10" s="1"/>
  <c r="H24" i="10"/>
  <c r="I24" i="10" s="1"/>
  <c r="H23" i="10"/>
  <c r="J23" i="10" s="1"/>
  <c r="H22" i="10"/>
  <c r="J22" i="10" s="1"/>
  <c r="H21" i="10"/>
  <c r="I21" i="10" s="1"/>
  <c r="H20" i="10"/>
  <c r="J20" i="10" s="1"/>
  <c r="H19" i="10"/>
  <c r="J19" i="10" s="1"/>
  <c r="H18" i="10"/>
  <c r="I18" i="10" s="1"/>
  <c r="H17" i="10"/>
  <c r="J17" i="10" s="1"/>
  <c r="H16" i="10"/>
  <c r="I16" i="10" s="1"/>
  <c r="H15" i="10"/>
  <c r="J15" i="10" s="1"/>
  <c r="H14" i="10"/>
  <c r="I14" i="10" s="1"/>
  <c r="H13" i="10"/>
  <c r="J13" i="10" s="1"/>
  <c r="H12" i="10"/>
  <c r="J12" i="10" s="1"/>
  <c r="H11" i="10"/>
  <c r="I11" i="10" s="1"/>
  <c r="J35" i="10"/>
  <c r="J42" i="10"/>
  <c r="J45" i="10"/>
  <c r="J51" i="10"/>
  <c r="I51" i="10"/>
  <c r="I53" i="10"/>
  <c r="J54" i="10"/>
  <c r="I54" i="10"/>
  <c r="J57" i="10"/>
  <c r="I62" i="10"/>
  <c r="J63" i="10"/>
  <c r="I63" i="10"/>
  <c r="J66" i="10"/>
  <c r="I66" i="10"/>
  <c r="G66" i="8"/>
  <c r="H66" i="8" s="1"/>
  <c r="G65" i="8"/>
  <c r="H65" i="8" s="1"/>
  <c r="G64" i="8"/>
  <c r="H64" i="8" s="1"/>
  <c r="G63" i="8"/>
  <c r="H63" i="8" s="1"/>
  <c r="G62" i="8"/>
  <c r="H62" i="8" s="1"/>
  <c r="G61" i="8"/>
  <c r="H61" i="8" s="1"/>
  <c r="G60" i="8"/>
  <c r="I60" i="8" s="1"/>
  <c r="G59" i="8"/>
  <c r="H59" i="8" s="1"/>
  <c r="G58" i="8"/>
  <c r="H58" i="8" s="1"/>
  <c r="G57" i="8"/>
  <c r="H57" i="8" s="1"/>
  <c r="G56" i="8"/>
  <c r="H56" i="8" s="1"/>
  <c r="G55" i="8"/>
  <c r="H55" i="8" s="1"/>
  <c r="G54" i="8"/>
  <c r="I54" i="8" s="1"/>
  <c r="G53" i="8"/>
  <c r="H53" i="8" s="1"/>
  <c r="G52" i="8"/>
  <c r="H52" i="8" s="1"/>
  <c r="G51" i="8"/>
  <c r="H51" i="8" s="1"/>
  <c r="G50" i="8"/>
  <c r="H50" i="8" s="1"/>
  <c r="G49" i="8"/>
  <c r="H49" i="8" s="1"/>
  <c r="G48" i="8"/>
  <c r="H48" i="8" s="1"/>
  <c r="G47" i="8"/>
  <c r="H47" i="8" s="1"/>
  <c r="G46" i="8"/>
  <c r="H46" i="8" s="1"/>
  <c r="G45" i="8"/>
  <c r="I45" i="8" s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I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P29" i="25" l="1"/>
  <c r="P31" i="25" s="1"/>
  <c r="O29" i="25"/>
  <c r="O31" i="25" s="1"/>
  <c r="N29" i="25"/>
  <c r="N31" i="25" s="1"/>
  <c r="M29" i="25"/>
  <c r="M31" i="25" s="1"/>
  <c r="L29" i="25"/>
  <c r="L31" i="25" s="1"/>
  <c r="K29" i="25"/>
  <c r="K31" i="25" s="1"/>
  <c r="J29" i="25"/>
  <c r="J31" i="25" s="1"/>
  <c r="I29" i="25"/>
  <c r="I31" i="25" s="1"/>
  <c r="H29" i="25"/>
  <c r="H31" i="25" s="1"/>
  <c r="G29" i="25"/>
  <c r="G31" i="25" s="1"/>
  <c r="F29" i="25"/>
  <c r="F31" i="25" s="1"/>
  <c r="E29" i="25"/>
  <c r="D29" i="25"/>
  <c r="C29" i="25"/>
  <c r="B29" i="25"/>
  <c r="C11" i="25"/>
  <c r="C7" i="28"/>
  <c r="D11" i="25"/>
  <c r="D7" i="28"/>
  <c r="P19" i="28"/>
  <c r="P25" i="28" s="1"/>
  <c r="P27" i="28" s="1"/>
  <c r="O19" i="28"/>
  <c r="O25" i="28" s="1"/>
  <c r="O27" i="28" s="1"/>
  <c r="N19" i="28"/>
  <c r="N25" i="28" s="1"/>
  <c r="N27" i="28" s="1"/>
  <c r="M19" i="28"/>
  <c r="M25" i="28" s="1"/>
  <c r="M27" i="28" s="1"/>
  <c r="L19" i="28"/>
  <c r="L25" i="28" s="1"/>
  <c r="L27" i="28" s="1"/>
  <c r="K19" i="28"/>
  <c r="K25" i="28" s="1"/>
  <c r="K27" i="28" s="1"/>
  <c r="J19" i="28"/>
  <c r="J25" i="28" s="1"/>
  <c r="J27" i="28" s="1"/>
  <c r="I19" i="28"/>
  <c r="I25" i="28" s="1"/>
  <c r="I27" i="28" s="1"/>
  <c r="H19" i="28"/>
  <c r="H25" i="28" s="1"/>
  <c r="H27" i="28" s="1"/>
  <c r="G19" i="28"/>
  <c r="G25" i="28" s="1"/>
  <c r="G27" i="28" s="1"/>
  <c r="F19" i="28"/>
  <c r="F25" i="28" s="1"/>
  <c r="F27" i="28" s="1"/>
  <c r="E19" i="28"/>
  <c r="E25" i="28" s="1"/>
  <c r="D19" i="28"/>
  <c r="D25" i="28" s="1"/>
  <c r="C19" i="28"/>
  <c r="C25" i="28" s="1"/>
  <c r="B19" i="28"/>
  <c r="B25" i="28" s="1"/>
  <c r="C14" i="24"/>
  <c r="B14" i="24"/>
  <c r="B33" i="24"/>
  <c r="C33" i="24"/>
  <c r="D33" i="24"/>
  <c r="E33" i="24"/>
  <c r="F33" i="24"/>
  <c r="F35" i="24" s="1"/>
  <c r="G33" i="24"/>
  <c r="G35" i="24" s="1"/>
  <c r="H33" i="24"/>
  <c r="H35" i="24" s="1"/>
  <c r="I33" i="24"/>
  <c r="I35" i="24" s="1"/>
  <c r="J33" i="24"/>
  <c r="K33" i="24"/>
  <c r="K35" i="24" s="1"/>
  <c r="L33" i="24"/>
  <c r="L35" i="24" s="1"/>
  <c r="M33" i="24"/>
  <c r="M35" i="24" s="1"/>
  <c r="N33" i="24"/>
  <c r="N35" i="24" s="1"/>
  <c r="O33" i="24"/>
  <c r="O35" i="24" s="1"/>
  <c r="P33" i="24"/>
  <c r="P35" i="24" s="1"/>
  <c r="L12" i="21" a="1"/>
  <c r="L12" i="21" s="1"/>
  <c r="L11" i="21" a="1"/>
  <c r="L11" i="21" s="1"/>
  <c r="T35" i="22"/>
  <c r="T29" i="22"/>
  <c r="R12" i="19"/>
  <c r="T12" i="22"/>
  <c r="R48" i="19"/>
  <c r="T48" i="22"/>
  <c r="R32" i="19"/>
  <c r="T32" i="22"/>
  <c r="R45" i="19"/>
  <c r="T45" i="22"/>
  <c r="R52" i="19"/>
  <c r="T52" i="22"/>
  <c r="T42" i="22"/>
  <c r="T39" i="22"/>
  <c r="T37" i="22"/>
  <c r="T34" i="22"/>
  <c r="R18" i="19"/>
  <c r="T18" i="22"/>
  <c r="R43" i="19"/>
  <c r="T43" i="22"/>
  <c r="R27" i="19"/>
  <c r="T27" i="22"/>
  <c r="T33" i="22"/>
  <c r="T28" i="22"/>
  <c r="R38" i="19"/>
  <c r="T38" i="22"/>
  <c r="R31" i="19"/>
  <c r="T31" i="22"/>
  <c r="R11" i="19"/>
  <c r="T11" i="22"/>
  <c r="R51" i="19"/>
  <c r="T51" i="22"/>
  <c r="R47" i="19"/>
  <c r="T47" i="22"/>
  <c r="R15" i="19"/>
  <c r="T15" i="22"/>
  <c r="R16" i="19"/>
  <c r="T16" i="22"/>
  <c r="R53" i="19"/>
  <c r="T53" i="22"/>
  <c r="R19" i="19"/>
  <c r="T19" i="22"/>
  <c r="R46" i="19"/>
  <c r="T46" i="22"/>
  <c r="R13" i="19"/>
  <c r="T13" i="22"/>
  <c r="R24" i="19"/>
  <c r="T24" i="22"/>
  <c r="R22" i="19"/>
  <c r="T22" i="22"/>
  <c r="R36" i="19"/>
  <c r="T36" i="22"/>
  <c r="Q20" i="18" a="1"/>
  <c r="Q20" i="18" s="1"/>
  <c r="R20" i="18" a="1"/>
  <c r="R20" i="18" s="1"/>
  <c r="S20" i="18" a="1"/>
  <c r="S20" i="18" s="1"/>
  <c r="Q21" i="18" a="1"/>
  <c r="Q21" i="18" s="1"/>
  <c r="R21" i="18" a="1"/>
  <c r="R21" i="18" s="1"/>
  <c r="S21" i="18" a="1"/>
  <c r="S21" i="18" s="1"/>
  <c r="Q22" i="18" a="1"/>
  <c r="Q22" i="18" s="1"/>
  <c r="R22" i="18" a="1"/>
  <c r="R22" i="18" s="1"/>
  <c r="S22" i="18" a="1"/>
  <c r="S22" i="18" s="1"/>
  <c r="Q23" i="18" a="1"/>
  <c r="Q23" i="18" s="1"/>
  <c r="R23" i="18" a="1"/>
  <c r="R23" i="18" s="1"/>
  <c r="S23" i="18" a="1"/>
  <c r="S23" i="18" s="1"/>
  <c r="Q24" i="18" a="1"/>
  <c r="Q24" i="18" s="1"/>
  <c r="R24" i="18" a="1"/>
  <c r="R24" i="18" s="1"/>
  <c r="S24" i="18" a="1"/>
  <c r="S24" i="18" s="1"/>
  <c r="Q25" i="18" a="1"/>
  <c r="Q25" i="18" s="1"/>
  <c r="R25" i="18" a="1"/>
  <c r="R25" i="18" s="1"/>
  <c r="S25" i="18" a="1"/>
  <c r="S25" i="18" s="1"/>
  <c r="Q26" i="18" a="1"/>
  <c r="Q26" i="18" s="1"/>
  <c r="R26" i="18" a="1"/>
  <c r="R26" i="18" s="1"/>
  <c r="S26" i="18" a="1"/>
  <c r="S26" i="18" s="1"/>
  <c r="Q27" i="18" a="1"/>
  <c r="Q27" i="18" s="1"/>
  <c r="R27" i="18" a="1"/>
  <c r="R27" i="18" s="1"/>
  <c r="S27" i="18" a="1"/>
  <c r="S27" i="18" s="1"/>
  <c r="Q11" i="18" a="1"/>
  <c r="Q11" i="18" s="1"/>
  <c r="S11" i="18" a="1"/>
  <c r="S11" i="18" s="1"/>
  <c r="S12" i="18" a="1"/>
  <c r="S12" i="18" s="1"/>
  <c r="S13" i="18" a="1"/>
  <c r="S13" i="18" s="1"/>
  <c r="S14" i="18" a="1"/>
  <c r="S14" i="18" s="1"/>
  <c r="S15" i="18" a="1"/>
  <c r="S15" i="18" s="1"/>
  <c r="S16" i="18" a="1"/>
  <c r="S16" i="18" s="1"/>
  <c r="S17" i="18" a="1"/>
  <c r="S17" i="18" s="1"/>
  <c r="S18" i="18" a="1"/>
  <c r="S18" i="18" s="1"/>
  <c r="S19" i="18" a="1"/>
  <c r="S19" i="18" s="1"/>
  <c r="S28" i="18" a="1"/>
  <c r="S28" i="18" s="1"/>
  <c r="S29" i="18" a="1"/>
  <c r="S29" i="18" s="1"/>
  <c r="S30" i="18" a="1"/>
  <c r="S30" i="18" s="1"/>
  <c r="S31" i="18" a="1"/>
  <c r="S31" i="18" s="1"/>
  <c r="S32" i="18" a="1"/>
  <c r="S32" i="18" s="1"/>
  <c r="R11" i="18" a="1"/>
  <c r="R11" i="18" s="1"/>
  <c r="R12" i="18" a="1"/>
  <c r="R12" i="18" s="1"/>
  <c r="R13" i="18" a="1"/>
  <c r="R13" i="18" s="1"/>
  <c r="R14" i="18" a="1"/>
  <c r="R14" i="18" s="1"/>
  <c r="R15" i="18" a="1"/>
  <c r="R15" i="18" s="1"/>
  <c r="R16" i="18" a="1"/>
  <c r="R16" i="18" s="1"/>
  <c r="R17" i="18" a="1"/>
  <c r="R17" i="18" s="1"/>
  <c r="R18" i="18" a="1"/>
  <c r="R18" i="18" s="1"/>
  <c r="R19" i="18" a="1"/>
  <c r="R19" i="18" s="1"/>
  <c r="R28" i="18" a="1"/>
  <c r="R28" i="18" s="1"/>
  <c r="R29" i="18" a="1"/>
  <c r="R29" i="18" s="1"/>
  <c r="R30" i="18" a="1"/>
  <c r="R30" i="18" s="1"/>
  <c r="R31" i="18" a="1"/>
  <c r="R31" i="18" s="1"/>
  <c r="R32" i="18" a="1"/>
  <c r="R32" i="18" s="1"/>
  <c r="Q12" i="18" a="1"/>
  <c r="Q12" i="18" s="1"/>
  <c r="Q13" i="18" a="1"/>
  <c r="Q13" i="18" s="1"/>
  <c r="Q15" i="18" a="1"/>
  <c r="Q15" i="18" s="1"/>
  <c r="Q16" i="18" a="1"/>
  <c r="Q16" i="18" s="1"/>
  <c r="Q17" i="18" a="1"/>
  <c r="Q17" i="18" s="1"/>
  <c r="Q18" i="18" a="1"/>
  <c r="Q18" i="18" s="1"/>
  <c r="Q19" i="18" a="1"/>
  <c r="Q19" i="18" s="1"/>
  <c r="Q28" i="18" a="1"/>
  <c r="Q28" i="18" s="1"/>
  <c r="Q29" i="18" a="1"/>
  <c r="Q29" i="18" s="1"/>
  <c r="Q30" i="18" a="1"/>
  <c r="Q30" i="18" s="1"/>
  <c r="Q31" i="18" a="1"/>
  <c r="Q31" i="18" s="1"/>
  <c r="Q32" i="18" a="1"/>
  <c r="Q32" i="18" s="1"/>
  <c r="T29" i="6"/>
  <c r="R35" i="19"/>
  <c r="R29" i="19"/>
  <c r="T39" i="6"/>
  <c r="R42" i="19"/>
  <c r="R39" i="19"/>
  <c r="T34" i="6"/>
  <c r="R37" i="19"/>
  <c r="R34" i="19"/>
  <c r="R33" i="19"/>
  <c r="R28" i="19"/>
  <c r="J29" i="10"/>
  <c r="T33" i="6"/>
  <c r="T28" i="6"/>
  <c r="J48" i="10"/>
  <c r="J64" i="10"/>
  <c r="J56" i="10"/>
  <c r="J60" i="10"/>
  <c r="J16" i="10"/>
  <c r="T12" i="6"/>
  <c r="T18" i="6"/>
  <c r="I41" i="10"/>
  <c r="T35" i="6"/>
  <c r="T32" i="6"/>
  <c r="T45" i="6"/>
  <c r="T27" i="6"/>
  <c r="T43" i="6"/>
  <c r="I63" i="8"/>
  <c r="I20" i="10"/>
  <c r="J65" i="10"/>
  <c r="J59" i="10"/>
  <c r="J50" i="10"/>
  <c r="I47" i="10"/>
  <c r="P14" i="10" s="1"/>
  <c r="J38" i="10"/>
  <c r="I23" i="10"/>
  <c r="I44" i="10"/>
  <c r="I32" i="10"/>
  <c r="J26" i="10"/>
  <c r="J52" i="10"/>
  <c r="I17" i="10"/>
  <c r="J61" i="10"/>
  <c r="J55" i="10"/>
  <c r="J58" i="10"/>
  <c r="J39" i="10"/>
  <c r="I22" i="10"/>
  <c r="H45" i="8"/>
  <c r="I33" i="8"/>
  <c r="J36" i="10"/>
  <c r="J33" i="10"/>
  <c r="J30" i="10"/>
  <c r="J27" i="10"/>
  <c r="J24" i="10"/>
  <c r="J18" i="10"/>
  <c r="I51" i="8"/>
  <c r="H54" i="8"/>
  <c r="J37" i="10"/>
  <c r="J46" i="10"/>
  <c r="I31" i="10"/>
  <c r="J49" i="10"/>
  <c r="I40" i="10"/>
  <c r="J28" i="10"/>
  <c r="H60" i="8"/>
  <c r="I43" i="10"/>
  <c r="I34" i="10"/>
  <c r="I25" i="10"/>
  <c r="I19" i="10"/>
  <c r="H24" i="8"/>
  <c r="J21" i="10"/>
  <c r="I15" i="10"/>
  <c r="I12" i="10"/>
  <c r="I13" i="10"/>
  <c r="J14" i="10"/>
  <c r="J11" i="10"/>
  <c r="P15" i="10"/>
  <c r="P17" i="10"/>
  <c r="P19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O36" i="8"/>
  <c r="I12" i="8"/>
  <c r="I15" i="8"/>
  <c r="I18" i="8"/>
  <c r="I27" i="8"/>
  <c r="I36" i="8"/>
  <c r="I42" i="8"/>
  <c r="I21" i="8"/>
  <c r="I30" i="8"/>
  <c r="I39" i="8"/>
  <c r="I48" i="8"/>
  <c r="I57" i="8"/>
  <c r="I66" i="8"/>
  <c r="I13" i="8"/>
  <c r="I16" i="8"/>
  <c r="I19" i="8"/>
  <c r="I22" i="8"/>
  <c r="I25" i="8"/>
  <c r="I28" i="8"/>
  <c r="I31" i="8"/>
  <c r="I34" i="8"/>
  <c r="I37" i="8"/>
  <c r="I40" i="8"/>
  <c r="I43" i="8"/>
  <c r="I46" i="8"/>
  <c r="I49" i="8"/>
  <c r="I52" i="8"/>
  <c r="I55" i="8"/>
  <c r="I58" i="8"/>
  <c r="I61" i="8"/>
  <c r="I64" i="8"/>
  <c r="I11" i="8"/>
  <c r="I14" i="8"/>
  <c r="I17" i="8"/>
  <c r="I20" i="8"/>
  <c r="I23" i="8"/>
  <c r="I26" i="8"/>
  <c r="I29" i="8"/>
  <c r="I32" i="8"/>
  <c r="I35" i="8"/>
  <c r="I38" i="8"/>
  <c r="I41" i="8"/>
  <c r="I44" i="8"/>
  <c r="I47" i="8"/>
  <c r="I50" i="8"/>
  <c r="I53" i="8"/>
  <c r="I56" i="8"/>
  <c r="I59" i="8"/>
  <c r="I62" i="8"/>
  <c r="I65" i="8"/>
  <c r="O35" i="8"/>
  <c r="Q29" i="25" l="1"/>
  <c r="B31" i="25"/>
  <c r="Q25" i="28"/>
  <c r="B27" i="28"/>
  <c r="Q33" i="24"/>
  <c r="B35" i="24"/>
  <c r="X60" i="22"/>
  <c r="X59" i="22"/>
  <c r="X58" i="22"/>
  <c r="X57" i="22"/>
  <c r="X56" i="22"/>
  <c r="X55" i="22"/>
  <c r="X54" i="22"/>
  <c r="X53" i="22"/>
  <c r="X52" i="22"/>
  <c r="X51" i="22"/>
  <c r="X50" i="22"/>
  <c r="X49" i="22"/>
  <c r="X48" i="22"/>
  <c r="X47" i="22"/>
  <c r="X46" i="22"/>
  <c r="X45" i="22"/>
  <c r="X44" i="22"/>
  <c r="X43" i="22"/>
  <c r="X42" i="22"/>
  <c r="X41" i="22"/>
  <c r="X40" i="22"/>
  <c r="X39" i="22"/>
  <c r="X38" i="22"/>
  <c r="X37" i="22"/>
  <c r="X36" i="22"/>
  <c r="X35" i="22"/>
  <c r="X34" i="22"/>
  <c r="X33" i="22"/>
  <c r="X32" i="22"/>
  <c r="X31" i="22"/>
  <c r="X30" i="22"/>
  <c r="X29" i="22"/>
  <c r="X28" i="22"/>
  <c r="X27" i="22"/>
  <c r="X26" i="22"/>
  <c r="X25" i="22"/>
  <c r="X24" i="22"/>
  <c r="X23" i="22"/>
  <c r="X22" i="22"/>
  <c r="X21" i="22"/>
  <c r="X20" i="22"/>
  <c r="X19" i="22"/>
  <c r="X18" i="22"/>
  <c r="X17" i="22"/>
  <c r="X16" i="22"/>
  <c r="X15" i="22"/>
  <c r="X14" i="22"/>
  <c r="X13" i="22"/>
  <c r="X12" i="22"/>
  <c r="X11" i="22"/>
  <c r="K11" i="8" a="1"/>
  <c r="K11" i="8" s="1"/>
  <c r="M11" i="8" s="1" a="1"/>
  <c r="M11" i="8" s="1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P20" i="10"/>
  <c r="P16" i="10"/>
  <c r="P18" i="10"/>
  <c r="O34" i="8"/>
  <c r="O33" i="8"/>
  <c r="L11" i="10" a="1"/>
  <c r="L11" i="10" s="1"/>
  <c r="O32" i="8"/>
  <c r="O31" i="8"/>
  <c r="O28" i="8"/>
  <c r="O25" i="8"/>
  <c r="O22" i="8"/>
  <c r="O19" i="8"/>
  <c r="O16" i="8"/>
  <c r="O30" i="8"/>
  <c r="O27" i="8"/>
  <c r="O24" i="8"/>
  <c r="O21" i="8"/>
  <c r="O18" i="8"/>
  <c r="O15" i="8"/>
  <c r="O13" i="10" a="1"/>
  <c r="N11" i="10" a="1"/>
  <c r="O11" i="10" a="1"/>
  <c r="O12" i="10" a="1"/>
  <c r="N12" i="10" a="1"/>
  <c r="N13" i="10" a="1"/>
  <c r="O12" i="10" l="1"/>
  <c r="N11" i="10"/>
  <c r="N13" i="10"/>
  <c r="N12" i="10"/>
  <c r="O11" i="10"/>
  <c r="O13" i="10"/>
  <c r="O14" i="8"/>
  <c r="O17" i="8"/>
  <c r="O20" i="8"/>
  <c r="O23" i="8"/>
  <c r="O26" i="8"/>
  <c r="O29" i="8"/>
  <c r="N12" i="8" a="1"/>
  <c r="N13" i="8" a="1"/>
  <c r="N11" i="8" a="1"/>
  <c r="M12" i="8" a="1"/>
  <c r="M13" i="8" a="1"/>
  <c r="P12" i="10" l="1"/>
  <c r="P11" i="10"/>
  <c r="M12" i="8"/>
  <c r="N12" i="8"/>
  <c r="M13" i="8"/>
  <c r="N11" i="8"/>
  <c r="N13" i="8"/>
  <c r="P13" i="10"/>
  <c r="O11" i="8" l="1"/>
  <c r="O12" i="8"/>
  <c r="O13" i="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<sst xmlns="http://schemas.openxmlformats.org/spreadsheetml/2006/main" count="5302" uniqueCount="737">
  <si>
    <t>Id</t>
  </si>
  <si>
    <t>Group</t>
  </si>
  <si>
    <t>Type</t>
  </si>
  <si>
    <t>Name</t>
  </si>
  <si>
    <t>Description</t>
  </si>
  <si>
    <t>Link to Steps</t>
  </si>
  <si>
    <t>1</t>
  </si>
  <si>
    <t>pH</t>
  </si>
  <si>
    <t>default-ph</t>
  </si>
  <si>
    <t>General Hydroponics pH Up Adjustment</t>
  </si>
  <si>
    <t>2</t>
  </si>
  <si>
    <t>Seed Scarification</t>
  </si>
  <si>
    <t>default-ss</t>
  </si>
  <si>
    <t>3% H2O2 Seed Scarification</t>
  </si>
  <si>
    <t>3</t>
  </si>
  <si>
    <t>Water Sterilization</t>
  </si>
  <si>
    <t>default-ws</t>
  </si>
  <si>
    <t>Added 3% H2O2 for O2</t>
  </si>
  <si>
    <t>Conversions</t>
  </si>
  <si>
    <t>From</t>
  </si>
  <si>
    <t>From (MM)</t>
  </si>
  <si>
    <t>To</t>
  </si>
  <si>
    <t>To (MM)</t>
  </si>
  <si>
    <t>Value</t>
  </si>
  <si>
    <t>Liters</t>
  </si>
  <si>
    <t>US Gallon</t>
  </si>
  <si>
    <t>Grams</t>
  </si>
  <si>
    <t>Ounce</t>
  </si>
  <si>
    <t>Sulfur</t>
  </si>
  <si>
    <t>SO₄²⁻</t>
  </si>
  <si>
    <t>Cube</t>
  </si>
  <si>
    <t>Cylinder</t>
  </si>
  <si>
    <t>Vase</t>
  </si>
  <si>
    <t>Jar</t>
  </si>
  <si>
    <t>Volume (mL)</t>
  </si>
  <si>
    <t>Shape</t>
  </si>
  <si>
    <t>Tapered Top</t>
  </si>
  <si>
    <t>Outer Width (mm)</t>
  </si>
  <si>
    <t>Outer Height (mm)</t>
  </si>
  <si>
    <t>Inner Lid Diameter (mm)</t>
  </si>
  <si>
    <t>Half-Gallon Ball Mason Jar</t>
  </si>
  <si>
    <t>1892.7</t>
  </si>
  <si>
    <t>Cylindrical Olive Jar</t>
  </si>
  <si>
    <t>371</t>
  </si>
  <si>
    <t>0</t>
  </si>
  <si>
    <t>69</t>
  </si>
  <si>
    <t>110</t>
  </si>
  <si>
    <t>55</t>
  </si>
  <si>
    <t>Jelly Jar, Cube Shape</t>
  </si>
  <si>
    <t>Stonewall Kitchen Wild Maine Blueberry Jam</t>
  </si>
  <si>
    <t>354</t>
  </si>
  <si>
    <t>72</t>
  </si>
  <si>
    <t>96</t>
  </si>
  <si>
    <t>53</t>
  </si>
  <si>
    <t>Smucker's Sugar Free Jam Jar</t>
  </si>
  <si>
    <t>361</t>
  </si>
  <si>
    <t>70</t>
  </si>
  <si>
    <t>125</t>
  </si>
  <si>
    <t>50</t>
  </si>
  <si>
    <t>Dr. Schroeder's 250ml Jar</t>
  </si>
  <si>
    <t>250</t>
  </si>
  <si>
    <t>Fertilizer</t>
  </si>
  <si>
    <t>N</t>
  </si>
  <si>
    <t>P</t>
  </si>
  <si>
    <t>K</t>
  </si>
  <si>
    <t>Total Nitrogen (N)</t>
  </si>
  <si>
    <t>Nitrate - N (NO₃)</t>
  </si>
  <si>
    <t>Ammonium - N (NH₄)</t>
  </si>
  <si>
    <t>Urea - N</t>
  </si>
  <si>
    <t>Phosphorus (P)</t>
  </si>
  <si>
    <t>Available Phosphate (P₂O₅)</t>
  </si>
  <si>
    <t>Potassium (K)</t>
  </si>
  <si>
    <t>Soluble Potash (K₂O)</t>
  </si>
  <si>
    <t>Calcium (Ca)</t>
  </si>
  <si>
    <t>Magnesium (Mg)</t>
  </si>
  <si>
    <t>Sulfur (S)</t>
  </si>
  <si>
    <t>Boron (B)</t>
  </si>
  <si>
    <t>Copper (Cu)</t>
  </si>
  <si>
    <t>Iron (Fe)</t>
  </si>
  <si>
    <t>Manganese (Mn)</t>
  </si>
  <si>
    <t>Molybdenum (Mo)</t>
  </si>
  <si>
    <t>Zinc (Zn)</t>
  </si>
  <si>
    <t>12-4-16</t>
  </si>
  <si>
    <t>Jack's Nutrients 12-4-16 RO</t>
  </si>
  <si>
    <t>12.0</t>
  </si>
  <si>
    <t>4.0</t>
  </si>
  <si>
    <t>16.0</t>
  </si>
  <si>
    <t>Total Nitrogen (N),Ammoniacal Nitrogen, Nitrate Nitrogen,Available Phosphate (P2O5),Soluble Potash (K2O),Calcium (Ca),Magnesium (Mg),Water Soluble Magnesium (Mg),Boron (B),Copper (Cu),Chelated Copper (Cu),Iron (Fe),Chelated Iron (Fe),Manganese (Mn),Chelated Manganese (Mn),Molybdenum (Mo),Zinc (Zn),Chelated Zinc (Zn)</t>
  </si>
  <si>
    <t>12.0%,0.2%,11.8%,4.0%,16.0%,7.0%,2.0%,2.0%,0.02%,0.02%,0.02%,0.15%,0.15%,0.05%,0.05%,0.001%,0.035%,0.035%</t>
  </si>
  <si>
    <t>Total Nitrogen (N),Nitrate - N (NO₃),Ammonium - N (NH₄),Urea - N,Phosphorus (P),Available Phosphate (P₂O₅),Potassium (K),Soluble Potash (K₂O),Calcium (Ca),Magnesium (Mg),Sulfur (S),Boron (B),Copper (Cu),Iron (Fe),Manganese (Mn),Molybdenum (Mo),Zinc (Zn)</t>
  </si>
  <si>
    <t>100.0,98.3,1.7,0.0,14.5,33.2,110.7,133.4,58.3,16.7,0.0,0.17,0.17,1.25,0.42,0.01,0.29</t>
  </si>
  <si>
    <t>PPM [N]</t>
  </si>
  <si>
    <t>For</t>
  </si>
  <si>
    <t>Active</t>
  </si>
  <si>
    <t>EC (min)</t>
  </si>
  <si>
    <t>V:EC (min)</t>
  </si>
  <si>
    <t>EC (max)</t>
  </si>
  <si>
    <t>V:EC (max)</t>
  </si>
  <si>
    <t>pH (min)</t>
  </si>
  <si>
    <t>V:pH (min)</t>
  </si>
  <si>
    <t>pH (max)</t>
  </si>
  <si>
    <t>V:pH (max)</t>
  </si>
  <si>
    <t>Nitrogen</t>
  </si>
  <si>
    <t>V:Nitrogen</t>
  </si>
  <si>
    <t>Phosphorus</t>
  </si>
  <si>
    <t>V:Phosphorus</t>
  </si>
  <si>
    <t>Potassium</t>
  </si>
  <si>
    <t>V:Potassium</t>
  </si>
  <si>
    <t>Calcium</t>
  </si>
  <si>
    <t>V:Calcium</t>
  </si>
  <si>
    <t>Magnesium</t>
  </si>
  <si>
    <t>V:Magnesium</t>
  </si>
  <si>
    <t>V:Sulfur</t>
  </si>
  <si>
    <t>Iron</t>
  </si>
  <si>
    <t>V:Iron</t>
  </si>
  <si>
    <t>Manganese</t>
  </si>
  <si>
    <t>V:Manganese</t>
  </si>
  <si>
    <t>Zinc</t>
  </si>
  <si>
    <t>V:Zinc</t>
  </si>
  <si>
    <t>Boron</t>
  </si>
  <si>
    <t>V:Boron</t>
  </si>
  <si>
    <t>Copper</t>
  </si>
  <si>
    <t>V:Copper</t>
  </si>
  <si>
    <t>Molybdenum</t>
  </si>
  <si>
    <t>V:Molybdenum</t>
  </si>
  <si>
    <t>Cl</t>
  </si>
  <si>
    <t>V:Cl</t>
  </si>
  <si>
    <t>Source</t>
  </si>
  <si>
    <t>C:pH (min)</t>
  </si>
  <si>
    <t>C:pH (max)</t>
  </si>
  <si>
    <t>C:EC (min)</t>
  </si>
  <si>
    <t>C:EC (max)</t>
  </si>
  <si>
    <t>C:Nitrogen</t>
  </si>
  <si>
    <t>C:Phosphorus</t>
  </si>
  <si>
    <t>C:Potassium</t>
  </si>
  <si>
    <t>C:Calcium</t>
  </si>
  <si>
    <t>C:Magnesium</t>
  </si>
  <si>
    <t>C:Sulfur</t>
  </si>
  <si>
    <t>C:Iron</t>
  </si>
  <si>
    <t>C:Manganese</t>
  </si>
  <si>
    <t>C:Zinc</t>
  </si>
  <si>
    <t>C:Boron</t>
  </si>
  <si>
    <t>C:Copper</t>
  </si>
  <si>
    <t>C:Molybdenum</t>
  </si>
  <si>
    <t>C:Cl</t>
  </si>
  <si>
    <t>Ocimum basilicum</t>
  </si>
  <si>
    <t>150</t>
  </si>
  <si>
    <t>31</t>
  </si>
  <si>
    <t>210</t>
  </si>
  <si>
    <t>90</t>
  </si>
  <si>
    <t>24</t>
  </si>
  <si>
    <t>1.0</t>
  </si>
  <si>
    <t>0.25</t>
  </si>
  <si>
    <t>0.13</t>
  </si>
  <si>
    <t>0.16</t>
  </si>
  <si>
    <t>0.023</t>
  </si>
  <si>
    <t>0.024</t>
  </si>
  <si>
    <t>Modified Sonneveld's Solution</t>
  </si>
  <si>
    <t>235</t>
  </si>
  <si>
    <t>200</t>
  </si>
  <si>
    <t>49</t>
  </si>
  <si>
    <t>64</t>
  </si>
  <si>
    <t>0.5</t>
  </si>
  <si>
    <t>0.1</t>
  </si>
  <si>
    <t>0.10</t>
  </si>
  <si>
    <t>0.01</t>
  </si>
  <si>
    <t>Symptoms of Common Nutrient Deficiencies in Hydroponic Basil by Neil Mattson and Tanya Merrill</t>
  </si>
  <si>
    <t>1.5</t>
  </si>
  <si>
    <t>5.8</t>
  </si>
  <si>
    <t>6.2</t>
  </si>
  <si>
    <t>62.7</t>
  </si>
  <si>
    <t>301.8</t>
  </si>
  <si>
    <t>92.2</t>
  </si>
  <si>
    <t>49.2</t>
  </si>
  <si>
    <t>53.2</t>
  </si>
  <si>
    <t>2.5</t>
  </si>
  <si>
    <t>0.3</t>
  </si>
  <si>
    <t>0.4</t>
  </si>
  <si>
    <t>0.2</t>
  </si>
  <si>
    <t>0.06</t>
  </si>
  <si>
    <t>2.7</t>
  </si>
  <si>
    <t xml:space="preserve">MU Hydroponic Nutrient Solution Calculator -Basil from e-Gro publication (nutritional monitoring series vol 1 No 14 April 2018). pH range 5.8 to 6.2: below pH iron toxicity and above pH iron deficiency. Magnesium critical for basil. Too much N promote excessive vegetative growth and lowers oil content by 28%. From Solis-Taopanta et al. 2020 https://doi.org/10.21273/HORTSCI14727-19 took the P to Cl elements recommendations. Left N at 150 according to the Egro article. Solis-Taopanta article suggested 178 ppm N but I don't want to risk lower oil content. </t>
  </si>
  <si>
    <t>...</t>
  </si>
  <si>
    <t>Lactuca sativa</t>
  </si>
  <si>
    <t>5.5</t>
  </si>
  <si>
    <t>6.0</t>
  </si>
  <si>
    <t>0.02</t>
  </si>
  <si>
    <t xml:space="preserve">MU Hydroponic Nutrient Solution Calculator -Lettuce Modified Sonneveld from Mattson N. &amp; Peters, C. "A Recipe for Hydroponic Success" http://hort.cornell.edu/greenhouse/crops/factsheets/hydroponic-recipes.pdf. </t>
  </si>
  <si>
    <t>Water Added (mL)</t>
  </si>
  <si>
    <t>Expected Plant</t>
  </si>
  <si>
    <t>Target PPM N</t>
  </si>
  <si>
    <t>Expected Fertilizer (g, min)</t>
  </si>
  <si>
    <t>Plant</t>
  </si>
  <si>
    <t>Fertilizer Per L</t>
  </si>
  <si>
    <t>Hydroponic Nutrient Solution Calculator</t>
  </si>
  <si>
    <t>Recreated from the University of Missouri Extension calculator (J. Cabrera-Garcia &amp; R. Milhollin, 1/2026; see MU Extension g6984). Crop requirements are read from the Nutrients sheet and fertilizer analyses from the Fertilizers sheet.</t>
  </si>
  <si>
    <t>Cell colors:</t>
  </si>
  <si>
    <t>Input</t>
  </si>
  <si>
    <t>Result</t>
  </si>
  <si>
    <t>Info</t>
  </si>
  <si>
    <t>Educational use only; the user assumes all risks associated with its use.</t>
  </si>
  <si>
    <t>Crop</t>
  </si>
  <si>
    <t>Nutrient Volume (L)</t>
  </si>
  <si>
    <t>Column2</t>
  </si>
  <si>
    <t>Column1</t>
  </si>
  <si>
    <t>STEP 3: Select the fertilizers and input the amount dissolved in the nutrient volume above</t>
  </si>
  <si>
    <t>Type of fertilizer</t>
  </si>
  <si>
    <t>Target PPM P</t>
  </si>
  <si>
    <t>Target PPM K</t>
  </si>
  <si>
    <t>Amount (grams)</t>
  </si>
  <si>
    <t>Fertilizer (mg/L)</t>
  </si>
  <si>
    <t>N supplied (ppm)</t>
  </si>
  <si>
    <t>STEP 4: Verify that the inputs from Step 3 meet the crop nutritional requirement</t>
  </si>
  <si>
    <t>Nutrient concentration (ppm)</t>
  </si>
  <si>
    <t>Total N</t>
  </si>
  <si>
    <t>Urea</t>
  </si>
  <si>
    <t>Ammonium-N</t>
  </si>
  <si>
    <t>Nitrate-N</t>
  </si>
  <si>
    <t>Ca</t>
  </si>
  <si>
    <t>Mg</t>
  </si>
  <si>
    <t>S</t>
  </si>
  <si>
    <t>B</t>
  </si>
  <si>
    <t>Cu</t>
  </si>
  <si>
    <t>Fe</t>
  </si>
  <si>
    <t>Mn</t>
  </si>
  <si>
    <t>Mo</t>
  </si>
  <si>
    <t>Zn</t>
  </si>
  <si>
    <t>K/N</t>
  </si>
  <si>
    <t>Water test (from Step 1)</t>
  </si>
  <si>
    <t>Provided by Steps 1 + 3</t>
  </si>
  <si>
    <t>← pink = below crop requirement</t>
  </si>
  <si>
    <t>Crop requirement</t>
  </si>
  <si>
    <t>% of requirement (100% = met)</t>
  </si>
  <si>
    <t>Result 1: Hand mixed fertilizer recipe</t>
  </si>
  <si>
    <t>Grams in 10 liters</t>
  </si>
  <si>
    <t>Ounces in 10 gallons</t>
  </si>
  <si>
    <t>DATA MAPPING (column names looked up in the Fertilizers and Nutrients sheets)</t>
  </si>
  <si>
    <t>Fertilizers sheet column</t>
  </si>
  <si>
    <t>Nutrients sheet column</t>
  </si>
  <si>
    <t>Fertilizer ppm: ppm of N supplied = grams x %N x 10 / liters. The Fertilizers sheet analysis columns are ppm of each element delivered when the fertilizer supplies 100 ppm N, so ppm of an element = ppm N supplied x (value / 100).</t>
  </si>
  <si>
    <t>Crop requirement: average of every row for the crop in the Nutrients sheet (blank cells ignored), the same averaging the Nutrients sheet uses for N, P and K. Urea, ammonium-N and nitrate-N have no crop requirement.</t>
  </si>
  <si>
    <t>Water test sulfate (SO4) is converted to S with the ratio above before it is added to the S column. Row heights and the dropdown lists follow the Nutrients and Fertilizers tables as they grow.</t>
  </si>
  <si>
    <t>Recreated from the University of Missouri Extension calculator (J. Cabrera-Garcia &amp; R. Milhollin, 1/2026; see MU Extension g6984).</t>
  </si>
  <si>
    <t>Amount (g)</t>
  </si>
  <si>
    <t>Nutrient Concentration (ppm)</t>
  </si>
  <si>
    <t>Nutrients already in Water</t>
  </si>
  <si>
    <t>Nutrients provided by Fertilizers</t>
  </si>
  <si>
    <t>Nutrients required by Crop</t>
  </si>
  <si>
    <t>STEP 1: Insert results from your water test report (in parts per million - ppm)</t>
  </si>
  <si>
    <t>Water test report concentration</t>
  </si>
  <si>
    <t>Alkalinity (as CaCO₃)</t>
  </si>
  <si>
    <t>EC (dS/m)</t>
  </si>
  <si>
    <t>Enter ppm from water report (0 if none)</t>
  </si>
  <si>
    <t>STEP 2: Select the hydroponic crop and enter the measured pH of your nutrient solution (if available)</t>
  </si>
  <si>
    <t>Nutrient volume (liters)</t>
  </si>
  <si>
    <t>pH of nutrient solution (optional)</t>
  </si>
  <si>
    <t>Recommended pH range (min | max)</t>
  </si>
  <si>
    <t>Sources averaged in Nutrients sheet</t>
  </si>
  <si>
    <t>Tank</t>
  </si>
  <si>
    <t>g per L of stock</t>
  </si>
  <si>
    <t>g per 10 L of stock</t>
  </si>
  <si>
    <t>oz per 10 gal of stock</t>
  </si>
  <si>
    <t>lb per gal of stock</t>
  </si>
  <si>
    <t>A</t>
  </si>
  <si>
    <t>C</t>
  </si>
  <si>
    <t>D</t>
  </si>
  <si>
    <t>E</t>
  </si>
  <si>
    <t>Result 3: Cost of fertilizer per 10 liters of nutrient solution</t>
  </si>
  <si>
    <t>Cost per kg</t>
  </si>
  <si>
    <t>Cost per 10 L</t>
  </si>
  <si>
    <t>Total fertilizer cost per 10 L</t>
  </si>
  <si>
    <t>CONVERSIONS AND ASSUMPTIONS</t>
  </si>
  <si>
    <t>Liters per US gallon</t>
  </si>
  <si>
    <t>Grams per ounce</t>
  </si>
  <si>
    <t>S per SO₄²⁻ (32.06 / 96.06)</t>
  </si>
  <si>
    <t>Injector dilution (1 : X)</t>
  </si>
  <si>
    <t>Genus species</t>
  </si>
  <si>
    <t>Quality Control</t>
  </si>
  <si>
    <t>Seed</t>
  </si>
  <si>
    <t>Scientific Name</t>
  </si>
  <si>
    <t>Common Name</t>
  </si>
  <si>
    <t>Brand Name</t>
  </si>
  <si>
    <t>Variety</t>
  </si>
  <si>
    <t>Color</t>
  </si>
  <si>
    <t>QC Testing Designation</t>
  </si>
  <si>
    <t>Organic</t>
  </si>
  <si>
    <t>Pelleted</t>
  </si>
  <si>
    <t>Days Until Germination (min)</t>
  </si>
  <si>
    <t>Days Until Germination (max)</t>
  </si>
  <si>
    <t>Days Until Maturity</t>
  </si>
  <si>
    <t>Disease Resistance</t>
  </si>
  <si>
    <t>Link</t>
  </si>
  <si>
    <t>3059JP.65</t>
  </si>
  <si>
    <t>Red Oakleaf Lettuce</t>
  </si>
  <si>
    <t>SC Salanova Brand Lettuce</t>
  </si>
  <si>
    <t>Xandra</t>
  </si>
  <si>
    <t>Red</t>
  </si>
  <si>
    <t>Oakleaf</t>
  </si>
  <si>
    <t>MT0</t>
  </si>
  <si>
    <t>OG</t>
  </si>
  <si>
    <t>Downy Mildew (High), Lettuce Leaf Aphid Nasonovia ribisnigri (High)</t>
  </si>
  <si>
    <t>https://www.johnnyseeds.com/vegetables/lettuce/salanova-lettuce/salanova-premier-collection-pelleted-lettuce-seed-3073JP.html</t>
  </si>
  <si>
    <t>3057JP.65</t>
  </si>
  <si>
    <t>Red Butter Lettuce</t>
  </si>
  <si>
    <t>Davinci</t>
  </si>
  <si>
    <t>Butter</t>
  </si>
  <si>
    <t xml:space="preserve">MT0 </t>
  </si>
  <si>
    <t>3058JP.65</t>
  </si>
  <si>
    <t>Green Oakleaf Lettuce</t>
  </si>
  <si>
    <t>Cousteau</t>
  </si>
  <si>
    <t>Green</t>
  </si>
  <si>
    <t>3056JP.65</t>
  </si>
  <si>
    <t>Green Butter Lettuce</t>
  </si>
  <si>
    <t>Higgs</t>
  </si>
  <si>
    <t>2178GP.53</t>
  </si>
  <si>
    <t>Nufar Basil</t>
  </si>
  <si>
    <t>Large Leaf Basil</t>
  </si>
  <si>
    <t xml:space="preserve"> </t>
  </si>
  <si>
    <t>Nufar</t>
  </si>
  <si>
    <t>5</t>
  </si>
  <si>
    <t>10</t>
  </si>
  <si>
    <t>74</t>
  </si>
  <si>
    <t>Fusarium Wilt (Intermediate)</t>
  </si>
  <si>
    <t>https://www.johnnyseeds.com/herbs/basil/italian-large-leaf-basil/nufar-organic-pelleted-basil-seed-2178GP.html</t>
  </si>
  <si>
    <t>Measure 1st</t>
  </si>
  <si>
    <t>Measure 2nd</t>
  </si>
  <si>
    <t>After Death</t>
  </si>
  <si>
    <t>=IF(@[Jar Type]="", "", TEXT(XLOOKUP([@[Jar Type]], 'Containers'!A:A, 'Containers'!C:C), "General"))</t>
  </si>
  <si>
    <t>=IF(@[Jar Type]="", "", TEXT(IFERROR(MEDIAN(FILTER(VALUE([Water Added (mL)]), ([Jar Purpose]=[@[Jar Purpose]])*([Jar Type]=[@[Jar Type]])*([Additional Water Added]="1"))), 0), "0000"))</t>
  </si>
  <si>
    <t>==IF(@[Jar Type]="", "", TEXT(IFERROR(MEDIAN(FILTER(VALUE([Water Added (mL)]), ([Jar Purpose]=[@[Jar Purpose]])*([Jar Type]=[@[Jar Type]])*([Additional Water Added]="0"))), 0), "0000"))</t>
  </si>
  <si>
    <t>=IF(@[Jar]="", "", IFERROR(IFERROR(XLOOKUP(@[Jar], Growing[Growing Jar], Growing[Status]), XLOOKUP(@[Jar], Growing[Seeding Jar], Growing[Status])), ""))</t>
  </si>
  <si>
    <t>Jar Type</t>
  </si>
  <si>
    <t>Jar Name</t>
  </si>
  <si>
    <t>Jar Purpose</t>
  </si>
  <si>
    <t>Jar Size (mL)</t>
  </si>
  <si>
    <t>Autoclaved</t>
  </si>
  <si>
    <t>Date Made</t>
  </si>
  <si>
    <t>Water Type</t>
  </si>
  <si>
    <t>Expected Water (min, mL)</t>
  </si>
  <si>
    <t>Expected Water (max, mL)</t>
  </si>
  <si>
    <t>Water Level from Top (mm)</t>
  </si>
  <si>
    <t>Target PPM Nitrogen</t>
  </si>
  <si>
    <t>Fertilizer Added (g)</t>
  </si>
  <si>
    <t>pH Procedure</t>
  </si>
  <si>
    <t>Initial pH</t>
  </si>
  <si>
    <t>Initial EC (μS)</t>
  </si>
  <si>
    <t>Growing Status</t>
  </si>
  <si>
    <t>Additional Water Added (mL)</t>
  </si>
  <si>
    <t>Additional Fertilizer Added (g)</t>
  </si>
  <si>
    <t>Fertilizer Added Date</t>
  </si>
  <si>
    <t>Total Water Added (mL)</t>
  </si>
  <si>
    <t>Total Fertilizer Added (g)</t>
  </si>
  <si>
    <t>Final pH</t>
  </si>
  <si>
    <t>Final EC (μS)</t>
  </si>
  <si>
    <t>Exterior</t>
  </si>
  <si>
    <t>Shade</t>
  </si>
  <si>
    <t>Notes</t>
  </si>
  <si>
    <t>Romaine Calm</t>
  </si>
  <si>
    <t>Seeding &amp; Growing</t>
  </si>
  <si>
    <t>2026-05-22</t>
  </si>
  <si>
    <t>Distilled</t>
  </si>
  <si>
    <t>1750</t>
  </si>
  <si>
    <t>Unknown</t>
  </si>
  <si>
    <t>1.48</t>
  </si>
  <si>
    <t>5.75</t>
  </si>
  <si>
    <t>1040</t>
  </si>
  <si>
    <t>None</t>
  </si>
  <si>
    <t>6.50</t>
  </si>
  <si>
    <t>507</t>
  </si>
  <si>
    <t>1 Brown Paper Bag</t>
  </si>
  <si>
    <t>1 Sheet Cardboard</t>
  </si>
  <si>
    <t>Leaf Quickly</t>
  </si>
  <si>
    <t>1011</t>
  </si>
  <si>
    <t>504</t>
  </si>
  <si>
    <t>Toss Boss</t>
  </si>
  <si>
    <t>1700</t>
  </si>
  <si>
    <t>1.11</t>
  </si>
  <si>
    <t>5.25</t>
  </si>
  <si>
    <t>683</t>
  </si>
  <si>
    <t>6.00</t>
  </si>
  <si>
    <t>366</t>
  </si>
  <si>
    <t>4</t>
  </si>
  <si>
    <t>Lettuce Bee Bold</t>
  </si>
  <si>
    <t>1.44</t>
  </si>
  <si>
    <t>1045</t>
  </si>
  <si>
    <t>Dressed for Success</t>
  </si>
  <si>
    <t>2026-05-29</t>
  </si>
  <si>
    <t>1.39</t>
  </si>
  <si>
    <t>937</t>
  </si>
  <si>
    <t>994</t>
  </si>
  <si>
    <t>6</t>
  </si>
  <si>
    <t>Chop Chop Real Smooth</t>
  </si>
  <si>
    <t>2026-06-03</t>
  </si>
  <si>
    <t>1.40</t>
  </si>
  <si>
    <t>941</t>
  </si>
  <si>
    <t>525</t>
  </si>
  <si>
    <t>7</t>
  </si>
  <si>
    <t>Duck Duck Produce!</t>
  </si>
  <si>
    <t>1.43</t>
  </si>
  <si>
    <t>1017</t>
  </si>
  <si>
    <t>526</t>
  </si>
  <si>
    <t>8</t>
  </si>
  <si>
    <t>Home Sill Home</t>
  </si>
  <si>
    <t>1.37</t>
  </si>
  <si>
    <t>968</t>
  </si>
  <si>
    <t>495</t>
  </si>
  <si>
    <t>9</t>
  </si>
  <si>
    <t>Mr. Green, in the Hall, with the Jar (candlestick)</t>
  </si>
  <si>
    <t>1.49</t>
  </si>
  <si>
    <t>1114</t>
  </si>
  <si>
    <t>6.25</t>
  </si>
  <si>
    <t>441</t>
  </si>
  <si>
    <t>Added DI water to elevate the water level for evaporation during a hot week.</t>
  </si>
  <si>
    <t>These are a few of my favorite things</t>
  </si>
  <si>
    <t>2026-06-12</t>
  </si>
  <si>
    <t>1050</t>
  </si>
  <si>
    <t>11</t>
  </si>
  <si>
    <t>You're the Best! A Crown!</t>
  </si>
  <si>
    <t>1043</t>
  </si>
  <si>
    <t>399</t>
  </si>
  <si>
    <t>12</t>
  </si>
  <si>
    <t>Breakfast and Move Things</t>
  </si>
  <si>
    <t>1.41</t>
  </si>
  <si>
    <t>1066</t>
  </si>
  <si>
    <t>13</t>
  </si>
  <si>
    <t>Dancing on my Shelf</t>
  </si>
  <si>
    <t>1.80</t>
  </si>
  <si>
    <t>1290</t>
  </si>
  <si>
    <t>493</t>
  </si>
  <si>
    <t>14</t>
  </si>
  <si>
    <t>Look Out and-Grow!</t>
  </si>
  <si>
    <t>2026-06-17</t>
  </si>
  <si>
    <t>Skipped</t>
  </si>
  <si>
    <t>333</t>
  </si>
  <si>
    <t>15</t>
  </si>
  <si>
    <t>Green Queen</t>
  </si>
  <si>
    <t>5.00</t>
  </si>
  <si>
    <t>963</t>
  </si>
  <si>
    <t>16</t>
  </si>
  <si>
    <t>My Cat Ate My Lettuce</t>
  </si>
  <si>
    <t>1.55</t>
  </si>
  <si>
    <t>907</t>
  </si>
  <si>
    <t>17</t>
  </si>
  <si>
    <t>Buddy</t>
  </si>
  <si>
    <t>1.57</t>
  </si>
  <si>
    <t>5.50</t>
  </si>
  <si>
    <t>1087</t>
  </si>
  <si>
    <t>Added DI water to elevate the water level for evaporation during a hot week. Plant was started during a heat wave and ran out of water in the medium before the roots extended.</t>
  </si>
  <si>
    <t>18</t>
  </si>
  <si>
    <t>Goose</t>
  </si>
  <si>
    <t>Growing</t>
  </si>
  <si>
    <t>2026-08-27</t>
  </si>
  <si>
    <t>Milli-Q</t>
  </si>
  <si>
    <t>1.77</t>
  </si>
  <si>
    <t>1232</t>
  </si>
  <si>
    <t>19</t>
  </si>
  <si>
    <t>Duck</t>
  </si>
  <si>
    <t>1650</t>
  </si>
  <si>
    <t>1.72</t>
  </si>
  <si>
    <t>1230</t>
  </si>
  <si>
    <t>20</t>
  </si>
  <si>
    <t>1600</t>
  </si>
  <si>
    <t>1.67</t>
  </si>
  <si>
    <t>1231</t>
  </si>
  <si>
    <t>21</t>
  </si>
  <si>
    <t>1550</t>
  </si>
  <si>
    <t>1.64</t>
  </si>
  <si>
    <t>1257</t>
  </si>
  <si>
    <t>22</t>
  </si>
  <si>
    <t>2026-08-28</t>
  </si>
  <si>
    <t>1.83</t>
  </si>
  <si>
    <t>1237</t>
  </si>
  <si>
    <t>23</t>
  </si>
  <si>
    <t>Seeding</t>
  </si>
  <si>
    <t>275</t>
  </si>
  <si>
    <t>0.23</t>
  </si>
  <si>
    <t>2026-09-01</t>
  </si>
  <si>
    <t>1775</t>
  </si>
  <si>
    <t>25</t>
  </si>
  <si>
    <t>2026-09-04</t>
  </si>
  <si>
    <t>0.17</t>
  </si>
  <si>
    <t>1 Nitrile Glove (s)</t>
  </si>
  <si>
    <t>26</t>
  </si>
  <si>
    <t>1800</t>
  </si>
  <si>
    <t>1.87</t>
  </si>
  <si>
    <t>1287</t>
  </si>
  <si>
    <t>27</t>
  </si>
  <si>
    <t>1270</t>
  </si>
  <si>
    <t>2026-10-02</t>
  </si>
  <si>
    <t>28</t>
  </si>
  <si>
    <t>You've Made it this Jar</t>
  </si>
  <si>
    <t>1.71</t>
  </si>
  <si>
    <t>1248</t>
  </si>
  <si>
    <t>Added a small amount of water so the seedling's roots touched.</t>
  </si>
  <si>
    <t>29</t>
  </si>
  <si>
    <t>Shining so Bright, We Grow Upright</t>
  </si>
  <si>
    <t>1.66</t>
  </si>
  <si>
    <t>1288</t>
  </si>
  <si>
    <t>30</t>
  </si>
  <si>
    <t>1.61</t>
  </si>
  <si>
    <t>1268</t>
  </si>
  <si>
    <t>1500</t>
  </si>
  <si>
    <t>1.54</t>
  </si>
  <si>
    <t>1275</t>
  </si>
  <si>
    <t>32</t>
  </si>
  <si>
    <t>2026-09-11</t>
  </si>
  <si>
    <t>33.1</t>
  </si>
  <si>
    <t>2026-09-16</t>
  </si>
  <si>
    <t>175</t>
  </si>
  <si>
    <t>1 Nitrile Glove (m)</t>
  </si>
  <si>
    <t>Not enough water. Too much evaporated.</t>
  </si>
  <si>
    <t>34.1</t>
  </si>
  <si>
    <t>35.1</t>
  </si>
  <si>
    <t>33.2</t>
  </si>
  <si>
    <t>2026-09-24</t>
  </si>
  <si>
    <t>34.2</t>
  </si>
  <si>
    <t>195</t>
  </si>
  <si>
    <t>35.2</t>
  </si>
  <si>
    <t>190</t>
  </si>
  <si>
    <t>36</t>
  </si>
  <si>
    <t>2026-09-29</t>
  </si>
  <si>
    <t>37</t>
  </si>
  <si>
    <t>38</t>
  </si>
  <si>
    <t>.28</t>
  </si>
  <si>
    <t>1244</t>
  </si>
  <si>
    <t>39</t>
  </si>
  <si>
    <t>295</t>
  </si>
  <si>
    <t>.30</t>
  </si>
  <si>
    <t>1210</t>
  </si>
  <si>
    <t>40</t>
  </si>
  <si>
    <t>.24</t>
  </si>
  <si>
    <t>6.5</t>
  </si>
  <si>
    <t>1135</t>
  </si>
  <si>
    <t>Fertilizer Added</t>
  </si>
  <si>
    <t>Final EC (μS/cm)</t>
  </si>
  <si>
    <t>Water Added?</t>
  </si>
  <si>
    <t>C:Total Fertilizer Added (g)</t>
  </si>
  <si>
    <t>*Denotes Reused Jar</t>
  </si>
  <si>
    <t>IMPORTANT: Keep track of which net cup was transferred into which growing jar!</t>
  </si>
  <si>
    <t>Measure from bottom of net cup</t>
  </si>
  <si>
    <t>Single Harvest</t>
  </si>
  <si>
    <t>White</t>
  </si>
  <si>
    <t>Uniform Growth</t>
  </si>
  <si>
    <t>Firm</t>
  </si>
  <si>
    <t>Cut-and-Come-Again</t>
  </si>
  <si>
    <t>Off White</t>
  </si>
  <si>
    <t>Sparse Branching</t>
  </si>
  <si>
    <t>Soft</t>
  </si>
  <si>
    <t>White-Brown</t>
  </si>
  <si>
    <t>Coiled Roots</t>
  </si>
  <si>
    <t>Mushy</t>
  </si>
  <si>
    <t>Light Brown</t>
  </si>
  <si>
    <t>Slimey</t>
  </si>
  <si>
    <t>Light/Dark Brown</t>
  </si>
  <si>
    <t>Dark Brown</t>
  </si>
  <si>
    <t>Grayish</t>
  </si>
  <si>
    <t>=IF(@[Growing Jar]="None", "None", IF(@[Growing Jar]="", "", XLOOKUP(@[Growing Jar],'Kratky Jars'!A:A,'Kratky Jars'!B:B)))</t>
  </si>
  <si>
    <t>=IF(@[Actual Germination]="", "", IF(@[Actual Germination]="None", "None", IF(@[Actual Germination]="Unknown", "Unknown", TEXT(@[Actual Germination]+XLOOKUP(@[Seed],Seeds!A:A,Seeds!H:H),"yyyy-MM-dd"))))</t>
  </si>
  <si>
    <t>Seeding Jar</t>
  </si>
  <si>
    <t>Growing Jar</t>
  </si>
  <si>
    <t>Growing Jar Name</t>
  </si>
  <si>
    <t>Date Seeded</t>
  </si>
  <si>
    <t>Net Cup (in)</t>
  </si>
  <si>
    <t>Growing Medium</t>
  </si>
  <si>
    <t>3% H2O2 Scarification?</t>
  </si>
  <si>
    <t>Expected Germination</t>
  </si>
  <si>
    <t>Actual Germination</t>
  </si>
  <si>
    <t>Transplant Root Length (mm)</t>
  </si>
  <si>
    <t>Transplant Date</t>
  </si>
  <si>
    <t>Added 3% H202 for O2?</t>
  </si>
  <si>
    <t>Expected Harvest</t>
  </si>
  <si>
    <t>Harvest Method</t>
  </si>
  <si>
    <t>Date of 1st Harvest</t>
  </si>
  <si>
    <t>Harvest Weight (1st, g)</t>
  </si>
  <si>
    <t>Number of +Leaves (1st)</t>
  </si>
  <si>
    <t>Number of -Leaves (1st)</t>
  </si>
  <si>
    <t>Date of 2nd Harvest</t>
  </si>
  <si>
    <t>Harvest Weight (2nd, g)</t>
  </si>
  <si>
    <t>Number of +Leaves (2nd)</t>
  </si>
  <si>
    <t>Number of -Leaves (2nd)</t>
  </si>
  <si>
    <t>Date Terminated</t>
  </si>
  <si>
    <t>Stopped Reason</t>
  </si>
  <si>
    <t>Stem Diameter (1st, mm)</t>
  </si>
  <si>
    <t>Stem Diameter (2nd, mm)</t>
  </si>
  <si>
    <t>Root Color</t>
  </si>
  <si>
    <t>Root Branching</t>
  </si>
  <si>
    <t>Root Texture</t>
  </si>
  <si>
    <t>pH After Death</t>
  </si>
  <si>
    <t>EC After Death (μS)</t>
  </si>
  <si>
    <t>Peat Moss + Clay Pebbles</t>
  </si>
  <si>
    <t>2026-07-12</t>
  </si>
  <si>
    <t>2026-07-26</t>
  </si>
  <si>
    <t>Harvest, Root Rot</t>
  </si>
  <si>
    <t>A full head of lettuce was harvested. Plant was harvested using the cut and come again method.</t>
  </si>
  <si>
    <t>Harvest</t>
  </si>
  <si>
    <t>A full head of lettuce was harvested. Plant showed signs of root rot and growing was stopped.</t>
  </si>
  <si>
    <t>Root Rot</t>
  </si>
  <si>
    <t>Plant was succumbing to root rot and was removed.</t>
  </si>
  <si>
    <t>Rock Wool + Clay Pebbles + Cotton Balls for wicking, removed</t>
  </si>
  <si>
    <t>2026-08-09</t>
  </si>
  <si>
    <t>62</t>
  </si>
  <si>
    <t>Rock Wool + Clay Pebbles</t>
  </si>
  <si>
    <t>2026-08-16</t>
  </si>
  <si>
    <t>52</t>
  </si>
  <si>
    <t>Roots were in poor health after a particularly hot week.</t>
  </si>
  <si>
    <t>43</t>
  </si>
  <si>
    <t>Added DI water to elevate the water level for evaporation during a hot week. A full head of lettuce was harvested. Plant showed signs of root rot and growing was stopped.</t>
  </si>
  <si>
    <t>Vermiculite + Coconut Fiber</t>
  </si>
  <si>
    <t>2026-08-23</t>
  </si>
  <si>
    <t>Perlite</t>
  </si>
  <si>
    <t>Perlite + Coconut Fiber</t>
  </si>
  <si>
    <t>59</t>
  </si>
  <si>
    <t>Pumice + Vermiculite</t>
  </si>
  <si>
    <t>Pumice + Perlite</t>
  </si>
  <si>
    <t>2026-07-14</t>
  </si>
  <si>
    <t>Death</t>
  </si>
  <si>
    <t>Added DI water to elevate the water level for evaporation during a hot week. Growing algae. Added aluminum foil around the base of the plant to block out light. Plant burnt or suffocated.</t>
  </si>
  <si>
    <t>Vermiculite</t>
  </si>
  <si>
    <t>Added DI water to elevate the water level for evaporation during a hot week. Roots were in poor health after a particularly hot week.</t>
  </si>
  <si>
    <t>Peat Moss + Gravel</t>
  </si>
  <si>
    <t>2026-09-02</t>
  </si>
  <si>
    <t>2026-09-08</t>
  </si>
  <si>
    <t>Peat Moss + Pumice</t>
  </si>
  <si>
    <t>2026-09-06</t>
  </si>
  <si>
    <t>2026-09-14</t>
  </si>
  <si>
    <t>23*</t>
  </si>
  <si>
    <t>100</t>
  </si>
  <si>
    <t>2026-09-21</t>
  </si>
  <si>
    <t>25*</t>
  </si>
  <si>
    <t>2026-09-22</t>
  </si>
  <si>
    <t>Added ~20mL milli-Q water to elevate water level to reach transplanted plant roots.</t>
  </si>
  <si>
    <t>Normal</t>
  </si>
  <si>
    <t>Bitter</t>
  </si>
  <si>
    <t>Discoloration</t>
  </si>
  <si>
    <t>Volume Less Than 50%</t>
  </si>
  <si>
    <t>Date Harvested</t>
  </si>
  <si>
    <t>Drying Procedure</t>
  </si>
  <si>
    <t>Taste</t>
  </si>
  <si>
    <t>Storage Media</t>
  </si>
  <si>
    <t>Storage Location</t>
  </si>
  <si>
    <t>Date First Wilted</t>
  </si>
  <si>
    <t>Date of Spoilage</t>
  </si>
  <si>
    <t>Spoilage Reason</t>
  </si>
  <si>
    <t>Lettuce</t>
  </si>
  <si>
    <t>Salad spinner + rest between paper towels for 1 hour.</t>
  </si>
  <si>
    <t>In an open plastic bag with a paper towel</t>
  </si>
  <si>
    <t>Fridge Shelf</t>
  </si>
  <si>
    <t>2026-07-17</t>
  </si>
  <si>
    <t>Basil</t>
  </si>
  <si>
    <t>In a brown paper bag that's folded down</t>
  </si>
  <si>
    <t>In aluminum foil</t>
  </si>
  <si>
    <t>2026-07-19</t>
  </si>
  <si>
    <t>In an airtight jar full of water</t>
  </si>
  <si>
    <t>2026-08-18</t>
  </si>
  <si>
    <t>In an airtight jar with a paper towel</t>
  </si>
  <si>
    <t>Moisture is condensing on the inside of the jar. Leaves were not completely dry.</t>
  </si>
  <si>
    <t>In an airtight closed plastic bag with a paper towel</t>
  </si>
  <si>
    <t>2026-08-31</t>
  </si>
  <si>
    <t>Moisture is condensing on the inside of the bag. Leaves were not completely dry.</t>
  </si>
  <si>
    <t>Additional</t>
  </si>
  <si>
    <t>Date Added</t>
  </si>
  <si>
    <t>Initial EC (μs/cm)</t>
  </si>
  <si>
    <t>V:Water Added (mL)</t>
  </si>
  <si>
    <t>V:Fertilizer Added (g)</t>
  </si>
  <si>
    <t>C:Total Water Added (mL)</t>
  </si>
  <si>
    <t>75</t>
  </si>
  <si>
    <t>1.05</t>
  </si>
  <si>
    <t>1.52</t>
  </si>
  <si>
    <t>0.694</t>
  </si>
  <si>
    <t>0.892</t>
  </si>
  <si>
    <t>Autoclaved Cup</t>
  </si>
  <si>
    <t>Autoclaved Medium</t>
  </si>
  <si>
    <t>Scarification Procedure</t>
  </si>
  <si>
    <t>Plant was restarted after seedlings died. Median was swapped from cotton balls to rock wool.</t>
  </si>
  <si>
    <t>2026-09-30</t>
  </si>
  <si>
    <t>33</t>
  </si>
  <si>
    <t>2026-10-01</t>
  </si>
  <si>
    <t>34</t>
  </si>
  <si>
    <t>Keep track of which net cup was transferred into which growing jar!</t>
  </si>
  <si>
    <t>=IF(@[Date Seeded]="", "", IF(@[Date Seeded]="Unknown", "Unknown", TEXT(@[Date Seeded]+XLOOKUP(@[Seed],Seeds[Seed],Seeds[Days Until Germination (min)]),"yyyy-MM-dd")))</t>
  </si>
  <si>
    <t>=IF(@[Date Seeded]="", "", IF(@[Date Seeded]="Unknown", "Unknown", TEXT(@[Date Seeded]+XLOOKUP(@[Seed],Seeds[Seed],Seeds[Days Until Germination (max)]),"yyyy-MM-dd")))</t>
  </si>
  <si>
    <t>Seed Cup</t>
  </si>
  <si>
    <t>Seed Name</t>
  </si>
  <si>
    <t>Status</t>
  </si>
  <si>
    <t>Expected Germination (min)</t>
  </si>
  <si>
    <t>Expected Germination (max)</t>
  </si>
  <si>
    <t>Water Procedure</t>
  </si>
  <si>
    <t>Final Stem Diameter (mm)</t>
  </si>
  <si>
    <t>Stem Node Count</t>
  </si>
  <si>
    <t>Stem Branch Count</t>
  </si>
  <si>
    <t>Number Leaves</t>
  </si>
  <si>
    <t>Final Root Length (mm)</t>
  </si>
  <si>
    <t>Root Node Count</t>
  </si>
  <si>
    <t>Root Branch Count</t>
  </si>
  <si>
    <t>Growing algae. Added aluminum foil around the base of the plant to block out light. Plant burnt or suffocated.</t>
  </si>
  <si>
    <t>Storage Id</t>
  </si>
  <si>
    <t>Harvest Number</t>
  </si>
  <si>
    <t>Number of Leaves (+)</t>
  </si>
  <si>
    <t>Number of Leaves (-)</t>
  </si>
  <si>
    <t>Harvest Weight (g)</t>
  </si>
  <si>
    <t>Washing Procedure</t>
  </si>
  <si>
    <t>Storage Container</t>
  </si>
  <si>
    <t>Get me an instant read water thermometer!</t>
  </si>
  <si>
    <t>Jar Exterior</t>
  </si>
  <si>
    <t>Jar Shade</t>
  </si>
  <si>
    <t>Date</t>
  </si>
  <si>
    <t>Time</t>
  </si>
  <si>
    <t>Temp (°C)</t>
  </si>
  <si>
    <t>Outdoor Temp (°F)</t>
  </si>
  <si>
    <t>Outdoor Weather</t>
  </si>
  <si>
    <t>2026-04-22</t>
  </si>
  <si>
    <t>11:47</t>
  </si>
  <si>
    <t>Full Sun</t>
  </si>
  <si>
    <t>Unknown Jar</t>
  </si>
  <si>
    <t>2026-04-23</t>
  </si>
  <si>
    <t>13:25</t>
  </si>
  <si>
    <t>27.5</t>
  </si>
  <si>
    <t>82</t>
  </si>
  <si>
    <t>2026-05-09</t>
  </si>
  <si>
    <t>11:41</t>
  </si>
  <si>
    <t>71</t>
  </si>
  <si>
    <t>This uses data from Growing[] which is why some jars are skipped.</t>
  </si>
  <si>
    <t>=LET(value, INDEX(Growing_and_Harvest[Seeding Jar], ROW()-ROW(Growing_and_Harvest[#Headers])), IF(value="", "", value))</t>
  </si>
  <si>
    <t>=IFERROR(XLOOKUP([@[Seeding Jar]],'Kratky Jars'!A:A,'Kratky Jars'!L:L), "")</t>
  </si>
  <si>
    <t>=IF(TRIM('Growing and Harvest'!G11)="","",TRIM('Growing and Harvest'!G11))</t>
  </si>
  <si>
    <t>=IF('Growing and Harvest'!D11="","", TEXT('Growing and Harvest'!D11, "Default"))</t>
  </si>
  <si>
    <t>=IF('Growing and Harvest'!L11="","",IF(ISNUMBER('Growing and Harvest'!L11),'Growing and Harvest'!L11,IFERROR(DATEVALUE('Growing and Harvest'!L11),"")))</t>
  </si>
  <si>
    <t>=IFERROR('Growing and Harvest'!K11, "")</t>
  </si>
  <si>
    <t>=IF(AND(ISNUMBER(@[Transplant Root Length (mm)]),ISNUMBER(@[Days Between]),@[Days Between]&gt;0),@[Transplant Root Length (mm)]/@[Days Between],"")</t>
  </si>
  <si>
    <t>=SORT(UNIQUE(FILTER(HSTACK(FvRG_1[Seed], FvRG_1[Fertilizer Added (g)]), VALUE(FvRG_1[Include])=1)))</t>
  </si>
  <si>
    <t>=LET(value, OFFSET(INDIRECT(ADDRESS(ROW(),COLUMN())),0,-2), IF(value="","",value))</t>
  </si>
  <si>
    <t>=IFERROR(AVERAGE(FILTER(IFERROR(VALUE(FvRG_1[Root Length per Day (mm/day)]), ""), (FvRG_1[Seed]=[@Seed])*(IFERROR(VALUE(FvRG_1[Fertilizer Added (g)]), 0)=VALUE([@[Fertilizer Added (g)]])))), "")</t>
  </si>
  <si>
    <t>Days Between</t>
  </si>
  <si>
    <t>Root Length per Day (mm/day)</t>
  </si>
  <si>
    <t>Include</t>
  </si>
  <si>
    <t>Average Transplant Root Length (mm) / Day</t>
  </si>
  <si>
    <t>NOTE: This uses data from Growing and Harvest which is why some jars are skipped.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</si>
</sst>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#"/>
    <numFmt numFmtId="166" formatCode="0&quot;%&quot;"/>
    <numFmt numFmtId="167" formatCode="&quot;$&quot;#,##0.00"/>
  </numFmts>
  <fonts count="15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i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375623"/>
      <name val="Calibri"/>
      <family val="2"/>
      <scheme val="minor"/>
    </font>
    <font>
      <i/>
      <sz val="10"/>
      <color rgb="FF59595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FFEB9C"/>
        <bgColor rgb="FFE2EFDA"/>
      </patternFill>
    </fill>
    <fill>
      <patternFill patternType="solid">
        <fgColor rgb="FFFFEB9C"/>
        <bgColor rgb="FFC6E0B4"/>
      </patternFill>
    </fill>
    <fill>
      <patternFill patternType="solid">
        <fgColor rgb="FFFFC7CE"/>
        <bgColor rgb="FFC6E0B4"/>
      </patternFill>
    </fill>
    <fill>
      <patternFill patternType="solid">
        <fgColor rgb="FFFFC7CE"/>
        <bgColor rgb="FFE2EFDA"/>
      </patternFill>
    </fill>
    <fill>
      <patternFill patternType="solid">
        <fgColor rgb="FFD9D9D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75623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/>
    <xf numFmtId="49" fontId="0" fillId="0" borderId="0" xfId="0" quotePrefix="1" applyNumberFormat="1"/>
    <xf numFmtId="49" fontId="1" fillId="0" borderId="0" xfId="0" quotePrefix="1" applyNumberFormat="1" applyFont="1"/>
    <xf numFmtId="0" fontId="1" fillId="0" borderId="0" xfId="0" quotePrefix="1" applyFont="1"/>
    <xf numFmtId="0" fontId="2" fillId="0" borderId="0" xfId="1"/>
    <xf numFmtId="0" fontId="0" fillId="0" borderId="0" xfId="0" quotePrefix="1"/>
    <xf numFmtId="164" fontId="0" fillId="0" borderId="0" xfId="0" applyNumberFormat="1" applyAlignment="1">
      <alignment wrapText="1"/>
    </xf>
    <xf numFmtId="164" fontId="1" fillId="0" borderId="0" xfId="0" applyNumberFormat="1" applyFont="1"/>
    <xf numFmtId="164" fontId="0" fillId="0" borderId="0" xfId="0" quotePrefix="1" applyNumberFormat="1"/>
    <xf numFmtId="164" fontId="1" fillId="0" borderId="0" xfId="0" quotePrefix="1" applyNumberFormat="1" applyFont="1"/>
    <xf numFmtId="49" fontId="3" fillId="0" borderId="0" xfId="0" applyNumberFormat="1" applyFont="1" applyBorder="1" applyAlignment="1">
      <alignment wrapText="1"/>
    </xf>
    <xf numFmtId="14" fontId="1" fillId="0" borderId="0" xfId="0" quotePrefix="1" applyNumberFormat="1" applyFont="1"/>
    <xf numFmtId="0" fontId="0" fillId="0" borderId="0" xfId="0" applyNumberFormat="1"/>
    <xf numFmtId="0" fontId="4" fillId="0" borderId="0" xfId="0" applyNumberFormat="1" applyFont="1"/>
    <xf numFmtId="0" fontId="0" fillId="0" borderId="0" xfId="0" quotePrefix="1" applyNumberFormat="1"/>
    <xf numFmtId="0" fontId="1" fillId="0" borderId="0" xfId="0" applyNumberFormat="1" applyFont="1"/>
    <xf numFmtId="0" fontId="1" fillId="0" borderId="0" xfId="0" quotePrefix="1" applyNumberFormat="1" applyFont="1"/>
    <xf numFmtId="0" fontId="0" fillId="0" borderId="0" xfId="0" applyNumberFormat="1" applyAlignment="1"/>
    <xf numFmtId="0" fontId="5" fillId="0" borderId="0" xfId="0" applyNumberFormat="1" applyFont="1"/>
    <xf numFmtId="49" fontId="0" fillId="2" borderId="1" xfId="0" quotePrefix="1" applyNumberFormat="1" applyFont="1" applyFill="1" applyBorder="1"/>
    <xf numFmtId="49" fontId="0" fillId="2" borderId="1" xfId="0" applyNumberFormat="1" applyFont="1" applyFill="1" applyBorder="1"/>
    <xf numFmtId="0" fontId="5" fillId="2" borderId="1" xfId="0" applyFont="1" applyFill="1" applyBorder="1"/>
    <xf numFmtId="0" fontId="5" fillId="3" borderId="1" xfId="0" quotePrefix="1" applyFont="1" applyFill="1" applyBorder="1"/>
    <xf numFmtId="0" fontId="5" fillId="3" borderId="1" xfId="0" applyFont="1" applyFill="1" applyBorder="1"/>
    <xf numFmtId="49" fontId="0" fillId="3" borderId="1" xfId="0" quotePrefix="1" applyNumberFormat="1" applyFont="1" applyFill="1" applyBorder="1"/>
    <xf numFmtId="49" fontId="0" fillId="3" borderId="1" xfId="0" applyNumberFormat="1" applyFont="1" applyFill="1" applyBorder="1"/>
    <xf numFmtId="0" fontId="5" fillId="2" borderId="1" xfId="0" quotePrefix="1" applyFont="1" applyFill="1" applyBorder="1"/>
    <xf numFmtId="49" fontId="5" fillId="2" borderId="1" xfId="0" applyNumberFormat="1" applyFont="1" applyFill="1" applyBorder="1"/>
    <xf numFmtId="49" fontId="5" fillId="3" borderId="1" xfId="0" quotePrefix="1" applyNumberFormat="1" applyFont="1" applyFill="1" applyBorder="1"/>
    <xf numFmtId="0" fontId="0" fillId="0" borderId="0" xfId="0" applyNumberFormat="1" applyAlignment="1">
      <alignment wrapText="1"/>
    </xf>
    <xf numFmtId="0" fontId="6" fillId="0" borderId="0" xfId="0" applyFont="1"/>
    <xf numFmtId="0" fontId="7" fillId="0" borderId="0" xfId="0" applyFont="1"/>
    <xf numFmtId="0" fontId="5" fillId="4" borderId="0" xfId="0" applyFont="1" applyFill="1" applyBorder="1" applyAlignment="1"/>
    <xf numFmtId="0" fontId="5" fillId="5" borderId="0" xfId="0" applyFont="1" applyFill="1" applyBorder="1" applyAlignment="1"/>
    <xf numFmtId="0" fontId="8" fillId="6" borderId="0" xfId="0" applyFont="1" applyFill="1" applyBorder="1" applyAlignment="1"/>
    <xf numFmtId="0" fontId="8" fillId="7" borderId="0" xfId="0" applyFont="1" applyFill="1" applyBorder="1" applyAlignment="1"/>
    <xf numFmtId="0" fontId="8" fillId="5" borderId="0" xfId="0" applyFont="1" applyFill="1" applyBorder="1" applyAlignment="1"/>
    <xf numFmtId="0" fontId="8" fillId="4" borderId="0" xfId="0" applyFont="1" applyFill="1" applyBorder="1" applyAlignment="1"/>
    <xf numFmtId="0" fontId="8" fillId="8" borderId="0" xfId="0" applyFont="1" applyFill="1" applyBorder="1" applyAlignment="1"/>
    <xf numFmtId="0" fontId="8" fillId="9" borderId="0" xfId="0" applyFont="1" applyFill="1" applyBorder="1" applyAlignment="1"/>
    <xf numFmtId="0" fontId="9" fillId="0" borderId="0" xfId="0" applyFont="1"/>
    <xf numFmtId="0" fontId="10" fillId="0" borderId="0" xfId="0" applyFont="1"/>
    <xf numFmtId="0" fontId="11" fillId="10" borderId="2" xfId="0" applyFont="1" applyFill="1" applyBorder="1" applyAlignment="1">
      <alignment horizontal="left"/>
    </xf>
    <xf numFmtId="0" fontId="11" fillId="12" borderId="2" xfId="0" applyFont="1" applyFill="1" applyBorder="1" applyAlignment="1">
      <alignment horizontal="left"/>
    </xf>
    <xf numFmtId="0" fontId="12" fillId="13" borderId="0" xfId="0" applyFont="1" applyFill="1" applyAlignment="1">
      <alignment vertical="center"/>
    </xf>
    <xf numFmtId="0" fontId="13" fillId="10" borderId="2" xfId="0" applyFont="1" applyFill="1" applyBorder="1" applyAlignment="1">
      <alignment horizontal="center" vertical="center" wrapText="1"/>
    </xf>
    <xf numFmtId="0" fontId="13" fillId="0" borderId="0" xfId="0" applyFont="1"/>
    <xf numFmtId="2" fontId="11" fillId="10" borderId="2" xfId="0" applyNumberFormat="1" applyFont="1" applyFill="1" applyBorder="1" applyAlignment="1">
      <alignment horizontal="right"/>
    </xf>
    <xf numFmtId="0" fontId="11" fillId="10" borderId="2" xfId="0" applyFont="1" applyFill="1" applyBorder="1" applyAlignment="1">
      <alignment horizontal="center"/>
    </xf>
    <xf numFmtId="165" fontId="11" fillId="10" borderId="2" xfId="0" applyNumberFormat="1" applyFont="1" applyFill="1" applyBorder="1" applyAlignment="1">
      <alignment horizontal="right"/>
    </xf>
    <xf numFmtId="165" fontId="11" fillId="12" borderId="2" xfId="0" applyNumberFormat="1" applyFont="1" applyFill="1" applyBorder="1" applyAlignment="1">
      <alignment horizontal="right"/>
    </xf>
    <xf numFmtId="2" fontId="11" fillId="12" borderId="2" xfId="0" applyNumberFormat="1" applyFont="1" applyFill="1" applyBorder="1" applyAlignment="1">
      <alignment horizontal="right"/>
    </xf>
    <xf numFmtId="166" fontId="11" fillId="12" borderId="2" xfId="0" applyNumberFormat="1" applyFont="1" applyFill="1" applyBorder="1" applyAlignment="1">
      <alignment horizontal="right"/>
    </xf>
    <xf numFmtId="167" fontId="11" fillId="11" borderId="2" xfId="0" applyNumberFormat="1" applyFont="1" applyFill="1" applyBorder="1" applyAlignment="1">
      <alignment horizontal="right"/>
    </xf>
    <xf numFmtId="167" fontId="11" fillId="12" borderId="2" xfId="0" applyNumberFormat="1" applyFont="1" applyFill="1" applyBorder="1" applyAlignment="1">
      <alignment horizontal="right"/>
    </xf>
    <xf numFmtId="0" fontId="10" fillId="10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28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000000"/>
        <charset val="1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yyyy\-mm\-dd;@"/>
    </dxf>
    <dxf>
      <numFmt numFmtId="30" formatCode="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000000"/>
        <charset val="1"/>
      </font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i/>
        <color rgb="FF000000"/>
        <charset val="1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i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3</v>
  </rv>
  <rv s="1">
    <v>13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CE30932-1F77-4DFC-9441-DFA5CB8728DE}" name="Procedures" displayName="Procedures" ref="A10:F16" totalsRowShown="0">
  <autoFilter ref="A10:F16" xr:uid="{F08264F8-681C-4AFE-8322-D3DAF4BD25A1}"/>
  <tableColumns count="6">
    <tableColumn id="3" xr3:uid="{391D097D-CBB1-4550-BD1E-384D568E9162}" name="Id"/>
    <tableColumn id="4" xr3:uid="{DF627711-D4F0-420B-9292-2EF00041796F}" name="Group"/>
    <tableColumn id="5" xr3:uid="{7F7EA09C-AB3C-4249-833F-DCBAB1830D63}" name="Type"/>
    <tableColumn id="1" xr3:uid="{D0B5EEAB-A2DF-442E-ADEC-6E6AF385122D}" name="Name"/>
    <tableColumn id="6" xr3:uid="{282A40E5-D411-476D-8FCB-0A7DF2E24BA6}" name="Description"/>
    <tableColumn id="2" xr3:uid="{33690212-BF78-498E-9510-550B633FADAA}" name="Link to Steps"/>
  </tableColumns>
  <tableStyleInfo name="TableStyleMedium2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9A20B3A-4CFD-4958-BC46-10370FE7414B}" name="Conversions" displayName="Conversions" ref="A10:E13" totalsRowShown="0">
  <autoFilter ref="A10:E13" xr:uid="{E9A20B3A-4CFD-4958-BC46-10370FE7414B}"/>
  <tableColumns count="5">
    <tableColumn id="1" xr3:uid="{FC9A34FA-935F-4BAB-B9F2-929D6D7CD7FB}" name="From"/>
    <tableColumn id="4" xr3:uid="{70258CEC-6728-4B6B-9B49-280AC8786735}" name="From (MM)"/>
    <tableColumn id="3" xr3:uid="{18AE9AD6-AF4D-4DAA-B52F-58733B53E255}" name="To"/>
    <tableColumn id="5" xr3:uid="{320AB425-3FE5-4EE4-B43E-06DE685DC834}" name="To (MM)"/>
    <tableColumn id="2" xr3:uid="{25FFA9B7-C27A-4086-A5E5-D40F1036263D}" name="Value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A0F597-B1AB-4201-8F97-3EAC3459A804}" name="Containers" displayName="Containers" ref="A10:H15" totalsRowShown="0">
  <autoFilter ref="A10:H15" xr:uid="{F08264F8-681C-4AFE-8322-D3DAF4BD25A1}"/>
  <tableColumns count="8">
    <tableColumn id="1" xr3:uid="{4EBEF72C-4BE1-495B-874B-0D0BEB1FC8E2}" name="Jar"/>
    <tableColumn id="2" xr3:uid="{0D844DE6-60BE-4DDE-9BCC-1D3BE37D8CBC}" name="Name"/>
    <tableColumn id="3" xr3:uid="{DE7D96AC-1AC9-4CFA-B043-97EF74CB1824}" name="Volume (mL)"/>
    <tableColumn id="6" xr3:uid="{EB5589CC-6E6C-4BEF-8E30-78B6D8A68844}" name="Shape"/>
    <tableColumn id="7" xr3:uid="{FC74B5F7-43DC-45AD-BA11-38D6D7A0BCB4}" name="Tapered Top" dataDxfId="283"/>
    <tableColumn id="4" xr3:uid="{A58488A6-7014-4CA5-8E64-9808CA063537}" name="Outer Width (mm)"/>
    <tableColumn id="5" xr3:uid="{5B6B4DCD-E3AC-409D-B3A3-6588BF180EE3}" name="Outer Height (mm)"/>
    <tableColumn id="8" xr3:uid="{211A8D7C-D2CC-4636-AD63-5960796E48F9}" name="Inner Lid Diameter (mm)"/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CFE13C-AD09-4C4C-8F54-F86D6594DBBA}" name="Fertilizers" displayName="Fertilizers" ref="A10:V15" totalsRowShown="0">
  <autoFilter ref="A10:V15" xr:uid="{F08264F8-681C-4AFE-8322-D3DAF4BD25A1}"/>
  <tableColumns count="22">
    <tableColumn id="1" xr3:uid="{95373BD5-5D09-42F8-8707-52F3056DF65E}" name="Fertilizer"/>
    <tableColumn id="2" xr3:uid="{8E55EC49-522E-428A-BBD1-C2C73C658C18}" name="Name"/>
    <tableColumn id="3" xr3:uid="{777E00B7-4B30-4AFD-8B1E-349CD6B29A4A}" name="N"/>
    <tableColumn id="6" xr3:uid="{7EA210E9-FE3D-461A-BC93-D0D0A87A4374}" name="P"/>
    <tableColumn id="7" xr3:uid="{B6493E3C-077F-4438-9932-D9CC52DD81EF}" name="K" dataDxfId="281"/>
    <tableColumn id="4" xr3:uid="{A824AA71-284B-45AB-9BD3-35ACD80A79CB}" name="Total Nitrogen (N)"/>
    <tableColumn id="5" xr3:uid="{1A140840-7A81-452B-8A53-364E54D27C05}" name="Nitrate - N (NO₃)" dataDxfId="280"/>
    <tableColumn id="8" xr3:uid="{682F274F-AC45-4257-A855-88F30997A82F}" name="Ammonium - N (NH₄)" dataCellStyle="Hyperlink"/>
    <tableColumn id="9" xr3:uid="{F1E1F164-2324-49BA-9FB0-BA3D8852FBB1}" name="Urea - N"/>
    <tableColumn id="10" xr3:uid="{1FBAA202-D719-4F3A-9E97-9C675F30D222}" name="Phosphorus (P)"/>
    <tableColumn id="11" xr3:uid="{201AB6C9-755E-4D02-8F4A-78EA72DC2DA1}" name="Available Phosphate (P₂O₅)"/>
    <tableColumn id="12" xr3:uid="{6E51DBE6-2F80-4395-800A-8ADB1409FE7B}" name="Potassium (K)"/>
    <tableColumn id="13" xr3:uid="{737B4566-9E20-41A0-B940-1115B4A4D17B}" name="Soluble Potash (K₂O)"/>
    <tableColumn id="14" xr3:uid="{E810418B-4071-48F0-93B9-0CD3E6444D56}" name="Calcium (Ca)"/>
    <tableColumn id="15" xr3:uid="{E812B235-94AF-4F73-983A-C09586BC9433}" name="Magnesium (Mg)"/>
    <tableColumn id="16" xr3:uid="{BD975E54-1241-4A45-86DC-E409954FB0CB}" name="Sulfur (S)"/>
    <tableColumn id="17" xr3:uid="{9722C1B5-A44B-4FAA-828E-1F2C1FBD3D40}" name="Boron (B)"/>
    <tableColumn id="18" xr3:uid="{83A3BCD5-F2FB-435F-84CC-B0B073FFBEF9}" name="Copper (Cu)"/>
    <tableColumn id="19" xr3:uid="{99AE53F8-3B04-46E4-8715-AEAB5EC5AE17}" name="Iron (Fe)"/>
    <tableColumn id="20" xr3:uid="{5344643B-35D0-42A1-B6D0-A138C2F53B65}" name="Manganese (Mn)"/>
    <tableColumn id="21" xr3:uid="{18E58280-6D15-49B0-A063-323837911A08}" name="Molybdenum (Mo)"/>
    <tableColumn id="22" xr3:uid="{BFF6B031-879F-4EC3-A6CD-F9EB18F9046C}" name="Zinc (Zn)"/>
  </tableColumns>
  <tableStyleInfo name="TableStyleMedium2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94BFADF-52D5-4960-A7E1-C0DCC766699C}" name="Nutrients_1" displayName="Nutrients_1" ref="A10:AK18">
  <autoFilter ref="A10:AK18" xr:uid="{F94BFADF-52D5-4960-A7E1-C0DCC766699C}"/>
  <tableColumns count="37">
    <tableColumn id="1" xr3:uid="{A7DD6FDF-D38D-457F-8C36-7DEABB7CB9A4}" name="For" totalsRowLabel="Total"/>
    <tableColumn id="27" xr3:uid="{9B328CD8-F7DC-41BE-8A2F-EDA61A7287D0}" name="Active"/>
    <tableColumn id="2" xr3:uid="{1FF13DC2-D345-4AC2-ACC7-CE8D5F82D540}" name="EC (min)"/>
    <tableColumn id="7" xr3:uid="{7F0D92AF-1F72-4088-9931-4C8BB3E0DC02}" name="V:EC (min)">
      <calculatedColumnFormula>IF(Nutrients_1[[#This Row],[EC (min)]]="", "", IFERROR(VALUE(Nutrients_1[[#This Row],[EC (min)]]), ""))</calculatedColumnFormula>
    </tableColumn>
    <tableColumn id="3" xr3:uid="{629472A3-2ECE-43EC-80B7-59A5D247DEF4}" name="EC (max)"/>
    <tableColumn id="24" xr3:uid="{87F4A85F-D431-4018-9654-7E8EA89EA175}" name="V:EC (max)">
      <calculatedColumnFormula>IF(Nutrients_1[[#This Row],[EC (max)]]="", "", IFERROR(VALUE(Nutrients_1[[#This Row],[EC (max)]]), ""))</calculatedColumnFormula>
    </tableColumn>
    <tableColumn id="19" xr3:uid="{42CB9955-4EB8-469E-AF39-A559E4CAD68B}" name="pH (min)"/>
    <tableColumn id="25" xr3:uid="{BDFCA80D-71CB-4420-83F6-E8FC8ECD4B71}" name="V:pH (min)">
      <calculatedColumnFormula array="1">_xlfn.LET(_xlpm.data, _xlfn.SINGLE(Nutrients_1[pH (min)]), IF(_xlpm.data="", "", IFERROR(VALUE(_xlpm.data), "")))</calculatedColumnFormula>
    </tableColumn>
    <tableColumn id="20" xr3:uid="{FCF158E4-B780-4BD3-B680-16E25593957E}" name="pH (max)"/>
    <tableColumn id="26" xr3:uid="{68A18B4C-2EC2-4ABF-ADA0-9E91D7C0CA46}" name="V:pH (max)">
      <calculatedColumnFormula array="1">_xlfn.LET(_xlpm.data, _xlfn.SINGLE(Nutrients_1[pH (max)]), IF(_xlpm.data="", "", IFERROR(VALUE(_xlpm.data), "")))</calculatedColumnFormula>
    </tableColumn>
    <tableColumn id="4" xr3:uid="{25F5A4A6-0AB5-42DC-A093-7700A7339D9C}" name="Nitrogen"/>
    <tableColumn id="21" xr3:uid="{E348E5AE-40AA-468B-8279-1E1562C69E42}" name="V:Nitrogen" totalsRowFunction="custom">
      <calculatedColumnFormula array="1">_xlfn.LET(_xlpm.data, _xlfn.SINGLE(Nutrients_1[Nitrogen]), IF(_xlpm.data="", "", IFERROR(VALUE(_xlpm.data), "")))</calculatedColumnFormula>
      <totalsRowFormula array="1">_xlfn.VSTACK(1, 2)</totalsRowFormula>
    </tableColumn>
    <tableColumn id="5" xr3:uid="{830DA2CE-FDB9-45F7-A7AC-7168FEBE89C0}" name="Phosphorus"/>
    <tableColumn id="22" xr3:uid="{6D7AC594-6CE2-49CF-8966-43FF521861A6}" name="V:Phosphorus">
      <calculatedColumnFormula>IF(Nutrients_1[[#This Row],[Phosphorus]]="", "", IFERROR(VALUE(Nutrients_1[[#This Row],[Phosphorus]]), ""))</calculatedColumnFormula>
    </tableColumn>
    <tableColumn id="8" xr3:uid="{58209B55-2669-46E4-91D7-58CE8BB7F3BA}" name="Potassium"/>
    <tableColumn id="23" xr3:uid="{526A6671-4DE3-4645-B616-EE5111F1D05B}" name="V:Potassium">
      <calculatedColumnFormula>IF(Nutrients_1[[#This Row],[Potassium]]="", "", IFERROR(VALUE(Nutrients_1[[#This Row],[Potassium]]), ""))</calculatedColumnFormula>
    </tableColumn>
    <tableColumn id="9" xr3:uid="{04C8BC51-7679-4920-886F-B8F7D7260E07}" name="Calcium"/>
    <tableColumn id="28" xr3:uid="{2BF3E11B-8ED0-48DA-8650-C13C75D391F0}" name="V:Calcium" dataDxfId="277">
      <calculatedColumnFormula>IF(Nutrients_1[[#This Row],[Calcium]]="", "", IFERROR(VALUE(Nutrients_1[[#This Row],[Calcium]]), ""))</calculatedColumnFormula>
    </tableColumn>
    <tableColumn id="10" xr3:uid="{44FE2A4E-2878-49D2-AB48-9777215F2A90}" name="Magnesium"/>
    <tableColumn id="29" xr3:uid="{1A55C8FF-5D0F-43BC-AE60-5AD6F7105924}" name="V:Magnesium" dataDxfId="276">
      <calculatedColumnFormula array="1">_xlfn.LET(_xlpm.data, Nutrients_1[[#This Row],[Magnesium]], IF(_xlpm.data="", "", IFERROR(VALUE(_xlpm.data), "")))</calculatedColumnFormula>
    </tableColumn>
    <tableColumn id="11" xr3:uid="{3DDD139A-6B5E-4E30-8051-EBDFC0EC294D}" name="Sulfur"/>
    <tableColumn id="30" xr3:uid="{AD303C68-45F5-4D3E-8943-134543C72A2A}" name="V:Sulfur" dataDxfId="275">
      <calculatedColumnFormula array="1">_xlfn.LET(_xlpm.data, Nutrients_1[[#This Row],[Sulfur]], IF(_xlpm.data="", "", IFERROR(VALUE(_xlpm.data), "")))</calculatedColumnFormula>
    </tableColumn>
    <tableColumn id="12" xr3:uid="{C15D3AF0-4690-4BA0-8D7D-59C9A296C9CB}" name="Iron"/>
    <tableColumn id="31" xr3:uid="{D0281F59-1DEA-4895-88DD-AE63C830676A}" name="V:Iron" dataDxfId="274">
      <calculatedColumnFormula array="1">_xlfn.LET(_xlpm.data, Nutrients_1[[#This Row],[Iron]], IF(_xlpm.data="", "", IFERROR(VALUE(_xlpm.data), "")))</calculatedColumnFormula>
    </tableColumn>
    <tableColumn id="13" xr3:uid="{1D84346F-ADC8-430A-8D43-E84240C67EF0}" name="Manganese"/>
    <tableColumn id="32" xr3:uid="{AABEB9EB-5AFF-40EC-999C-44698944F4FF}" name="V:Manganese" dataDxfId="273">
      <calculatedColumnFormula array="1">_xlfn.LET(_xlpm.data, Nutrients_1[[#This Row],[Manganese]], IF(_xlpm.data="", "", IFERROR(VALUE(_xlpm.data), "")))</calculatedColumnFormula>
    </tableColumn>
    <tableColumn id="14" xr3:uid="{38EBA003-CE8D-489C-BB86-10B66BE18D29}" name="Zinc"/>
    <tableColumn id="33" xr3:uid="{15B5E889-AA1D-45B2-9502-8FABAE004CAA}" name="V:Zinc" dataDxfId="272">
      <calculatedColumnFormula array="1">_xlfn.LET(_xlpm.data, Nutrients_1[[#This Row],[Zinc]], IF(_xlpm.data="", "", IFERROR(VALUE(_xlpm.data), "")))</calculatedColumnFormula>
    </tableColumn>
    <tableColumn id="16" xr3:uid="{D6BB3A3E-F50E-478D-9083-86589AB83A54}" name="Boron"/>
    <tableColumn id="34" xr3:uid="{AB490E58-4338-4633-BB98-FA0D57313B55}" name="V:Boron" dataDxfId="271">
      <calculatedColumnFormula array="1">_xlfn.LET(_xlpm.data, Nutrients_1[[#This Row],[Boron]], IF(_xlpm.data="", "", IFERROR(VALUE(_xlpm.data), "")))</calculatedColumnFormula>
    </tableColumn>
    <tableColumn id="17" xr3:uid="{15DDFEAB-4D11-4479-93A8-EBB0CFD82F24}" name="Copper"/>
    <tableColumn id="35" xr3:uid="{12BDAE13-2BA9-4CE2-AF9D-36DF03C692A2}" name="V:Copper" dataDxfId="270">
      <calculatedColumnFormula array="1">_xlfn.LET(_xlpm.data, Nutrients_1[[#This Row],[Copper]], IF(_xlpm.data="", "", IFERROR(VALUE(_xlpm.data), "")))</calculatedColumnFormula>
    </tableColumn>
    <tableColumn id="15" xr3:uid="{E8461473-248D-42B9-BD86-F7BA361842FB}" name="Molybdenum"/>
    <tableColumn id="36" xr3:uid="{73A44A42-AA7F-4687-AC48-71B4FB5FE19C}" name="V:Molybdenum" dataDxfId="269">
      <calculatedColumnFormula array="1">_xlfn.LET(_xlpm.data, Nutrients_1[[#This Row],[Molybdenum]], IF(_xlpm.data="", "", IFERROR(VALUE(_xlpm.data), "")))</calculatedColumnFormula>
    </tableColumn>
    <tableColumn id="18" xr3:uid="{C5824212-5469-4622-912C-0E1BD81940F4}" name="Cl"/>
    <tableColumn id="37" xr3:uid="{DA0FD63C-6FC5-4696-81F0-07908783A075}" name="V:Cl" dataDxfId="268">
      <calculatedColumnFormula array="1">_xlfn.LET(_xlpm.data, Nutrients_1[[#This Row],[Cl]], IF(_xlpm.data="", "", IFERROR(VALUE(_xlpm.data), "")))</calculatedColumnFormula>
    </tableColumn>
    <tableColumn id="6" xr3:uid="{A7018C13-EADE-4E51-B72A-B5B3A7B383A5}" name="Source" totalsRowFunction="count"/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D1AD34B-61B9-457B-8DBF-DEFAF414335A}" name="Nutrients_2" displayName="Nutrients_2" ref="AN10:BE18" totalsRowShown="0">
  <autoFilter ref="AN10:BE18" xr:uid="{4D1AD34B-61B9-457B-8DBF-DEFAF414335A}"/>
  <tableColumns count="18">
    <tableColumn id="1" xr3:uid="{BE81607F-3E1C-45A2-A938-4A766B717065}" name="For" dataDxfId="267">
      <calculatedColumnFormula array="1">_xlfn.LET(_xlpm.value, OFFSET(INDIRECT(ADDRESS(ROW(), COLUMN())), 0, -1), IF(_xlpm.value="", " ", _xlpm.value))</calculatedColumnFormula>
    </tableColumn>
    <tableColumn id="3" xr3:uid="{B2FD893F-89B3-4E9B-B5D8-932F39434DC8}" name="C:pH (min)">
      <calculatedColumnFormula>IFERROR(AVERAGEIFS(Nutrients_1[V:pH (min)], Nutrients_1[For], Nutrients_2[[#This Row],[For]], Nutrients_1[Active], "1"), " ")</calculatedColumnFormula>
    </tableColumn>
    <tableColumn id="4" xr3:uid="{8D934362-EFF3-4268-A850-EAA8BC9C06F8}" name="C:pH (max)">
      <calculatedColumnFormula>IFERROR(AVERAGEIFS(Nutrients_1[V:pH (max)], Nutrients_1[For], Nutrients_2[[#This Row],[For]], Nutrients_1[Active], "1"), " ")</calculatedColumnFormula>
    </tableColumn>
    <tableColumn id="6" xr3:uid="{51999EC0-7066-4686-B6AF-0444DBA28CFE}" name="C:EC (min)">
      <calculatedColumnFormula>IFERROR(AVERAGEIFS(Nutrients_1[V:EC (min)], Nutrients_1[For], Nutrients_2[[#This Row],[For]], Nutrients_1[Active], "1"), " ")</calculatedColumnFormula>
    </tableColumn>
    <tableColumn id="5" xr3:uid="{0B28D990-C473-4CE7-939A-B10CF931C754}" name="C:EC (max)">
      <calculatedColumnFormula>IFERROR(AVERAGEIFS(Nutrients_1[V:EC (max)], Nutrients_1[For], Nutrients_2[[#This Row],[For]], Nutrients_1[Active], "1"), " ")</calculatedColumnFormula>
    </tableColumn>
    <tableColumn id="2" xr3:uid="{66408912-7363-4C19-9845-8E2D3CB3C603}" name="C:Nitrogen">
      <calculatedColumnFormula>IFERROR(AVERAGEIFS(Nutrients_1[V:Nitrogen], Nutrients_1[For], Nutrients_2[[#This Row],[For]], Nutrients_1[Active], "1"), " ")</calculatedColumnFormula>
    </tableColumn>
    <tableColumn id="8" xr3:uid="{A6FA04E5-9013-45E5-9B4B-C1080A779C58}" name="C:Phosphorus">
      <calculatedColumnFormula>IFERROR(AVERAGEIFS(Nutrients_1[V:Phosphorus], Nutrients_1[For], Nutrients_2[[#This Row],[For]], Nutrients_1[Active], "1"), " ")</calculatedColumnFormula>
    </tableColumn>
    <tableColumn id="7" xr3:uid="{D98EA2A1-A3FF-4EC4-8A8D-B863CDCCBBEC}" name="C:Potassium">
      <calculatedColumnFormula>IFERROR(AVERAGEIFS(Nutrients_1[V:Potassium], Nutrients_1[For], Nutrients_2[[#This Row],[For]], Nutrients_1[Active], "1"), " ")</calculatedColumnFormula>
    </tableColumn>
    <tableColumn id="9" xr3:uid="{3427075B-D21C-48F0-8C85-45098CC481E7}" name="C:Calcium" dataDxfId="266">
      <calculatedColumnFormula>IFERROR(AVERAGEIFS(Nutrients_1[V:Calcium], Nutrients_1[For], Nutrients_2[[#This Row],[For]], Nutrients_1[Active], "1"), " ")</calculatedColumnFormula>
    </tableColumn>
    <tableColumn id="10" xr3:uid="{BE85F03C-9200-4DC6-B904-E7F1B95FA618}" name="C:Magnesium" dataDxfId="265">
      <calculatedColumnFormula>IFERROR(AVERAGEIFS(Nutrients_1[V:Magnesium], Nutrients_1[For], Nutrients_2[[#This Row],[For]], Nutrients_1[Active], "1"), " ")</calculatedColumnFormula>
    </tableColumn>
    <tableColumn id="11" xr3:uid="{7FB982F1-AEF6-474D-8D05-92FCBE3BF990}" name="C:Sulfur" dataDxfId="264">
      <calculatedColumnFormula>IFERROR(AVERAGEIFS(Nutrients_1[V:Sulfur], Nutrients_1[For], Nutrients_2[[#This Row],[For]], Nutrients_1[Active], "1"), " ")</calculatedColumnFormula>
    </tableColumn>
    <tableColumn id="12" xr3:uid="{9C1E507B-B5ED-497C-B076-FE2C0BDD80D4}" name="C:Iron" dataDxfId="263">
      <calculatedColumnFormula>IFERROR(AVERAGEIFS(Nutrients_1[V:Iron], Nutrients_1[For], Nutrients_2[[#This Row],[For]], Nutrients_1[Active], "1"), " ")</calculatedColumnFormula>
    </tableColumn>
    <tableColumn id="13" xr3:uid="{10514882-7DE2-42BA-ADC9-3A7345B872B6}" name="C:Manganese" dataDxfId="262">
      <calculatedColumnFormula>IFERROR(AVERAGEIFS(Nutrients_1[V:Manganese], Nutrients_1[For], Nutrients_2[[#This Row],[For]], Nutrients_1[Active], "1"), " ")</calculatedColumnFormula>
    </tableColumn>
    <tableColumn id="14" xr3:uid="{75636CC4-E2F1-452E-A5F0-F1DC5E211A8C}" name="C:Zinc" dataDxfId="261">
      <calculatedColumnFormula>IFERROR(AVERAGEIFS(Nutrients_1[V:Zinc], Nutrients_1[For], Nutrients_2[[#This Row],[For]], Nutrients_1[Active], "1"), " ")</calculatedColumnFormula>
    </tableColumn>
    <tableColumn id="15" xr3:uid="{313CC2AD-9981-4B3E-AFDE-EE961C3C0111}" name="C:Boron" dataDxfId="260">
      <calculatedColumnFormula>IFERROR(AVERAGEIFS(Nutrients_1[V:Boron], Nutrients_1[For], Nutrients_2[[#This Row],[For]], Nutrients_1[Active], "1"), " ")</calculatedColumnFormula>
    </tableColumn>
    <tableColumn id="16" xr3:uid="{63754546-3717-4756-8CC2-39604D054EA6}" name="C:Copper" dataDxfId="259">
      <calculatedColumnFormula>IFERROR(AVERAGEIFS(Nutrients_1[V:Copper], Nutrients_1[For], Nutrients_2[[#This Row],[For]], Nutrients_1[Active], "1"), " ")</calculatedColumnFormula>
    </tableColumn>
    <tableColumn id="17" xr3:uid="{E92C54E0-A324-47B9-992B-5AEF412D3397}" name="C:Molybdenum" dataDxfId="258">
      <calculatedColumnFormula>IFERROR(AVERAGEIFS(Nutrients_1[V:Molybdenum], Nutrients_1[For], Nutrients_2[[#This Row],[For]], Nutrients_1[Active], "1"), " ")</calculatedColumnFormula>
    </tableColumn>
    <tableColumn id="18" xr3:uid="{9C5B0FC5-B9E6-4795-8276-3F6BA4AA0B3D}" name="C:Cl" dataDxfId="257">
      <calculatedColumnFormula>IFERROR(AVERAGEIFS(Nutrients_1[V:Cl], Nutrients_1[For], Nutrients_2[[#This Row],[For]], Nutrients_1[Active], "1"), " ")</calculatedColumnFormula>
    </tableColumn>
  </tableColumns>
  <tableStyleInfo name="TableStyleMedium2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20B65F1-0C98-4E3C-80A6-4D08E23A135C}" name="xxx_Recipes" displayName="xxx_Recipes" ref="A10:E11" totalsRowShown="0" headerRowDxfId="253">
  <autoFilter ref="A10:E11" xr:uid="{920B65F1-0C98-4E3C-80A6-4D08E23A135C}"/>
  <tableColumns count="5">
    <tableColumn id="1" xr3:uid="{937FF01C-4B96-40FB-B134-B3EAC7F86592}" name="Water Added (mL)" dataDxfId="252"/>
    <tableColumn id="7" xr3:uid="{29643C83-6E0F-4627-B935-0564DEE55487}" name="Fertilizer" dataDxfId="251"/>
    <tableColumn id="2" xr3:uid="{620EE77E-36A5-4E26-9768-D7320E3DDE3D}" name="Expected Plant" dataDxfId="250"/>
    <tableColumn id="3" xr3:uid="{3D6220E9-4576-4E77-A0FB-4B2E97C5C1F8}" name="Target PPM N" dataDxfId="249"/>
    <tableColumn id="5" xr3:uid="{90016520-C918-4633-88BC-90DAD78523E1}" name="Expected Fertilizer (g, min)" dataDxfId="248">
      <calculatedColumnFormula array="1">IFERROR(_xlfn.LET(
    _xlpm.targetN, xxx_Recipes[[#This Row],[Target PPM N]],
    _xlpm.fertilizerN, _xlfn.XLOOKUP(xxx_Recipes[[#This Row],[Fertilizer]], Fertilizers[Fertilizer], Fertilizers[N]) / 100,
    _xlpm.targetN / _xlpm.fertilizerN * xxx_Recipes[[#This Row],[Water Added (mL)]] / 1000 / 1000
), "")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DFACC57-F186-4BE1-A04A-26BED5F5792A}" name="xxx_Table23" displayName="xxx_Table23" ref="I10:L14" totalsRowShown="0">
  <autoFilter ref="I10:L14" xr:uid="{3DFACC57-F186-4BE1-A04A-26BED5F5792A}"/>
  <tableColumns count="4">
    <tableColumn id="1" xr3:uid="{E4F0070B-8293-43E7-B779-79A3EF5D7F70}" name="Fertilizer" dataDxfId="247">
      <calculatedColumnFormula array="1">_xlfn.LET(_xlpm.value, OFFSET(INDIRECT(ADDRESS(ROW(),COLUMN())),0,-2), IF(_xlpm.value="","",_xlpm.value))</calculatedColumnFormula>
    </tableColumn>
    <tableColumn id="2" xr3:uid="{905BC31C-BBB0-4880-82B0-8C7E81F7B69B}" name="Plant" dataDxfId="246">
      <calculatedColumnFormula array="1">_xlfn.LET(_xlpm.value, OFFSET(INDIRECT(ADDRESS(ROW(),COLUMN())),0,-2), IF(_xlpm.value="","",_xlpm.value))</calculatedColumnFormula>
    </tableColumn>
    <tableColumn id="4" xr3:uid="{6239BB46-7079-4E9A-9452-7C7152B40606}" name="Water Added (mL)"/>
    <tableColumn id="3" xr3:uid="{6B6F1FB6-ABC9-4548-9DA0-8F0EF91D18CE}" name="Fertilizer Per L" dataDxfId="245">
      <calculatedColumnFormula array="1">IFERROR(_xlfn.LET( _xlpm.targetN, _xlfn.XLOOKUP(xxx_Table23[[#This Row],[Plant]], Nutrients_2[For], Nutrients_2[C:Nitrogen]), _xlpm.fertilizerN, _xlfn.XLOOKUP(xxx_Table23[[#This Row],[Fertilizer]], Fertilizers[Fertilizer], Fertilizers[N]) / 100, _xlpm.targetN / _xlpm.fertilizerN * xxx_Table23[[#This Row],[Water Added (mL)]] / 1000 / 1000 ), "")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29A3946-8672-41CD-954A-E6E583119A3B}" name="Recipe_Calc31" displayName="Recipe_Calc31" ref="A18:Q27" totalsRowShown="0">
  <autoFilter ref="A18:Q27" xr:uid="{CF560238-6D75-4D9F-9084-7BF98B5AA933}"/>
  <tableColumns count="17">
    <tableColumn id="1" xr3:uid="{423E8F6F-4279-4534-9216-EE3D6028D08B}" name="Nutrient concentration (ppm)"/>
    <tableColumn id="2" xr3:uid="{DA968E35-00E4-4560-9CBA-F167D7F2F491}" name="Total N"/>
    <tableColumn id="3" xr3:uid="{46B5E0C9-6086-4100-A0F1-24882BCF107E}" name="Urea"/>
    <tableColumn id="4" xr3:uid="{200F7158-1C5A-4E94-9FAE-70088C6112A9}" name="Ammonium-N"/>
    <tableColumn id="5" xr3:uid="{DC6ABB7D-EB79-49E3-A88C-F893926B5647}" name="Nitrate-N"/>
    <tableColumn id="6" xr3:uid="{89BF85AD-2441-4128-AAE7-F3EFDD9EFDB1}" name="P"/>
    <tableColumn id="7" xr3:uid="{1F400597-8D21-4547-929A-2F41CFBFAF0A}" name="K"/>
    <tableColumn id="8" xr3:uid="{09B5ABD1-D71A-4D0A-8E92-22F24D581785}" name="Ca"/>
    <tableColumn id="9" xr3:uid="{ECE49AD2-9556-4C59-93BF-FD4EF1F95898}" name="Mg"/>
    <tableColumn id="10" xr3:uid="{AB58EB5B-FCC3-48D0-BF5E-123B09BED7B4}" name="S"/>
    <tableColumn id="11" xr3:uid="{F112CCED-DE17-42D7-B54F-1C31A8AD643C}" name="B"/>
    <tableColumn id="12" xr3:uid="{B12664CB-DF1D-46A8-8B72-698A34891D53}" name="Cu"/>
    <tableColumn id="13" xr3:uid="{A3738244-95A4-4E5C-BEF2-3FFF6CA6E71B}" name="Fe"/>
    <tableColumn id="14" xr3:uid="{46622772-090D-40CB-88C0-3E2E543EF872}" name="Mn"/>
    <tableColumn id="15" xr3:uid="{6A888BBA-CE5B-4F9A-A834-DB5A1FEC00A1}" name="Mo"/>
    <tableColumn id="16" xr3:uid="{0F1524AD-7A17-4967-8799-7852116B0485}" name="Zn"/>
    <tableColumn id="17" xr3:uid="{8BC835C6-A4AF-4048-9A6E-66742FE99DA9}" name="K/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3A1FDCA-F7E5-414A-B450-B36B83B12B8D}" name="Recipe_Results32" displayName="Recipe_Results32" ref="A30:C35" totalsRowShown="0">
  <autoFilter ref="A30:C35" xr:uid="{6AD1E51F-7895-4592-95E5-1762E91C0F79}"/>
  <tableColumns count="3">
    <tableColumn id="1" xr3:uid="{13F88100-46E4-4D23-AFC9-90AB273E79C2}" name="Fertilizer">
      <calculatedColumnFormula>IF(INDEX(Recipe_Input36[Type of fertilizer],ROW()-ROW(Recipe_Results32[#Headers]))="","",INDEX(Recipe_Input36[Type of fertilizer],ROW()-ROW(Recipe_Results32[#Headers])))</calculatedColumnFormula>
    </tableColumn>
    <tableColumn id="2" xr3:uid="{6348B2AC-66C8-4C6A-A628-281FED34CABC}" name="Grams in 10 liters">
      <calculatedColumnFormula array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calculatedColumnFormula>
    </tableColumn>
    <tableColumn id="3" xr3:uid="{C8D71E89-477C-410D-8D61-623128DCCE02}" name="Ounces in 10 gallons">
      <calculatedColumnFormula>IF(Recipe_Results32[[#This Row],[Grams in 10 liters]]="","",Recipe_Results32[[#This Row],[Grams in 10 liters]]*INDEX(Conversions[Value],MATCH("Liters per US gallon",Conversions[From],0))/INDEX(Conversions[Value],MATCH("Grams per ounce",Conversions[From],0)))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25609A9-4CC0-4202-B166-0033B464422D}" name="Recipe_Input36" displayName="Recipe_Input36" ref="A10:G15" totalsRowShown="0">
  <autoFilter ref="A10:G15" xr:uid="{DF9CB6DF-A5F3-4059-8B33-A7C394341BC2}"/>
  <tableColumns count="7">
    <tableColumn id="1" xr3:uid="{045050CD-9BAF-41D4-97AE-BA52383048B9}" name="Type of fertilizer"/>
    <tableColumn id="6" xr3:uid="{AA114416-99D8-4553-BC39-36E9AC3AC75E}" name="Target PPM N"/>
    <tableColumn id="8" xr3:uid="{CEF76568-900A-4525-A839-191C9D2346A6}" name="Target PPM P"/>
    <tableColumn id="7" xr3:uid="{ED63D660-087B-49A5-8C46-0760D37E9EEC}" name="Target PPM K"/>
    <tableColumn id="9" xr3:uid="{7924E568-2709-4F68-93EF-1E4EFB081A86}" name="Amount (grams)">
      <calculatedColumnFormula array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calculatedColumnFormula>
    </tableColumn>
    <tableColumn id="10" xr3:uid="{8D6D5BAE-2822-4461-A2CF-323EEC5D7E3E}" name="Fertilizer (mg/L)">
      <calculatedColumnFormula array="1">IF(OR(Recipe_Input36[[#This Row],[Type of fertilizer]]="",Recipe_Input36[[#This Row],[Amount (grams)]]=""),"",IFERROR(Recipe_Input36[[#This Row],[Amount (grams)]]*1000/Recipes_Crop37[Nutrient Volume (L)],""))</calculatedColumnFormula>
    </tableColumn>
    <tableColumn id="4" xr3:uid="{4D12A9A6-F738-488B-990C-C539A865F97C}" name="N supplied (ppm)">
      <calculatedColumnFormula array="1">IFERROR(IF(Recipe_Input36[[#This Row],[Type of fertilizer]]="",0,VALUE(INDEX(Fertilizers[N],MATCH(Recipe_Input36[[#This Row],[Type of fertilizer]],Fertilizers[Fertilizer],0)))*N(Recipe_Input36[[#This Row],[Amount (grams)]])*10/Recipes_Crop37[Nutrient Volume (L)]),0)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B13DC22-9F7B-45AC-9F0A-32EF3613572C}" name="Recipes_Crop37" displayName="Recipes_Crop37" ref="A6:D7" totalsRowShown="0">
  <autoFilter ref="A6:D7" xr:uid="{1C9DC878-1A81-4996-AEA2-D20229007E73}"/>
  <tableColumns count="4">
    <tableColumn id="1" xr3:uid="{EA124942-56E8-4BA2-8F10-C822E078BB09}" name="Crop"/>
    <tableColumn id="2" xr3:uid="{5F96423B-2AAB-4AFE-A733-94337A3656FD}" name="Nutrient Volume (L)"/>
    <tableColumn id="8" xr3:uid="{C2DED259-8ECC-4EAD-B46C-B0CE5A6956D5}" name="Column2">
      <calculatedColumnFormula>IF(Recipes_Crop37[[#This Row],[Crop]]="","",IFERROR(IF(ISNUMBER(INDEX(Nutrients_2[C:pH (min)],MATCH(Recipes_Crop37[[#This Row],[Crop]],Nutrients_2[For],0))),INDEX(Nutrients_2[C:pH (min)],MATCH(Recipes_Crop37[[#This Row],[Crop]],Nutrients_2[For],0)),""),""))</calculatedColumnFormula>
    </tableColumn>
    <tableColumn id="7" xr3:uid="{531E1301-A03C-44DA-8632-78357762AE44}" name="Column1">
      <calculatedColumnFormula>IF(Recipes_Crop37[[#This Row],[Crop]]="","",IFERROR(IF(ISNUMBER(INDEX(Nutrients_2[C:pH (max)],MATCH(Recipes_Crop37[[#This Row],[Crop]],Nutrients_2[For],0))),INDEX(Nutrients_2[C:pH (max)],MATCH(Recipes_Crop37[[#This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CF560238-6D75-4D9F-9084-7BF98B5AA933}" name="Recipe_Calc" displayName="Recipe_Calc" ref="A22:Q31" totalsRowShown="0">
  <autoFilter ref="A22:Q31" xr:uid="{CF560238-6D75-4D9F-9084-7BF98B5AA933}"/>
  <tableColumns count="17">
    <tableColumn id="1" xr3:uid="{E28145D4-13C4-4713-BB7D-A2A163D1605A}" name="Nutrient Concentration (ppm)"/>
    <tableColumn id="2" xr3:uid="{C1E0D35F-6B0C-460C-816B-115AB1884B9D}" name="Total N"/>
    <tableColumn id="3" xr3:uid="{4CEF0B94-E0B5-46D7-9EA8-191D5F1AE6D1}" name="Urea"/>
    <tableColumn id="4" xr3:uid="{216B05EA-75F1-4094-81C3-4E2C15F4E23C}" name="Ammonium-N"/>
    <tableColumn id="5" xr3:uid="{4E2200F0-8888-496E-8036-424D2FC4EF93}" name="Nitrate-N"/>
    <tableColumn id="6" xr3:uid="{A9EA0CF9-A959-4293-886A-16BA64683205}" name="P"/>
    <tableColumn id="7" xr3:uid="{80E3D07A-1B74-4A40-9C9E-E00A22AB2A43}" name="K"/>
    <tableColumn id="8" xr3:uid="{0E858B2B-E247-4603-999A-4A11D164D88D}" name="Ca"/>
    <tableColumn id="9" xr3:uid="{7C5D31DC-05E4-4BE2-82E9-82B6DE7AE801}" name="Mg"/>
    <tableColumn id="10" xr3:uid="{CD2235C5-D5E8-4973-9927-235FD8016575}" name="S"/>
    <tableColumn id="11" xr3:uid="{2D97EDFF-3F2D-4670-B495-BD90B2838D0C}" name="B"/>
    <tableColumn id="12" xr3:uid="{675C8A87-B346-44E4-86B4-370D72CE101E}" name="Cu"/>
    <tableColumn id="13" xr3:uid="{EF0F0097-50EA-444E-B270-6BE35CC8045F}" name="Fe"/>
    <tableColumn id="14" xr3:uid="{C28C95C0-A306-481C-BDED-AA75243BBA4E}" name="Mn"/>
    <tableColumn id="15" xr3:uid="{A57E1BC1-9512-4607-9A14-A5252F0DD4C4}" name="Mo"/>
    <tableColumn id="16" xr3:uid="{46EAE124-ADDA-416F-BC09-44D281916C79}" name="Zn"/>
    <tableColumn id="17" xr3:uid="{97A95C91-67D9-4CC7-87E0-760D0DC1E99C}" name="K/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F9CB6DF-A5F3-4059-8B33-A7C394341BC2}" name="Recipe_Input" displayName="Recipe_Input" ref="A14:G19" totalsRowShown="0">
  <autoFilter ref="A14:G19" xr:uid="{DF9CB6DF-A5F3-4059-8B33-A7C394341BC2}"/>
  <tableColumns count="7">
    <tableColumn id="1" xr3:uid="{3EF7222D-2BEF-43EF-A4DD-F320F2B97206}" name="Fertilizer"/>
    <tableColumn id="6" xr3:uid="{F9761E0A-7B28-427F-9AF7-A55307AA3774}" name="Target PPM N"/>
    <tableColumn id="8" xr3:uid="{70ED0AFE-F97A-49C2-9F29-C32AC543B865}" name="Target PPM P"/>
    <tableColumn id="7" xr3:uid="{B5664D1E-53F7-4D71-877E-25F07A32FDBA}" name="Target PPM K"/>
    <tableColumn id="9" xr3:uid="{B62C01EF-C712-4A55-9976-813F86ACFA2D}" name="Amount (g)">
      <calculatedColumnFormula array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calculatedColumnFormula>
    </tableColumn>
    <tableColumn id="10" xr3:uid="{543E0DD0-1AA0-4D48-BB38-CC51E0B11F12}" name="Fertilizer (mg/L)">
      <calculatedColumnFormula array="1">IF(OR(Recipe_Input[[#This Row],[Fertilizer]]="",Recipe_Input[[#This Row],[Amount (g)]]=""),"",IFERROR(Recipe_Input[[#This Row],[Amount (g)]]*1000/Recipes_Crop[Nutrient Volume (L)],""))</calculatedColumnFormula>
    </tableColumn>
    <tableColumn id="4" xr3:uid="{9009B836-9085-44C9-B3E1-681535931931}" name="N supplied (ppm)">
      <calculatedColumnFormula array="1">IFERROR(IF(Recipe_Input[[#This Row],[Fertilizer]]="",0,VALUE(INDEX(Fertilizers[N],MATCH(Recipe_Input[[#This Row],[Fertilizer]],Fertilizers[Fertilizer],0)))*N(Recipe_Input[[#This Row],[Amount (g)]])*10/Recipes_Crop[Nutrient Volume (L)]),0)</calculatedColumn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1C9DC878-1A81-4996-AEA2-D20229007E73}" name="Recipes_Crop" displayName="Recipes_Crop" ref="A10:D11" totalsRowShown="0">
  <autoFilter ref="A10:D11" xr:uid="{1C9DC878-1A81-4996-AEA2-D20229007E73}"/>
  <tableColumns count="4">
    <tableColumn id="1" xr3:uid="{93EDBC31-ABD9-4738-87F8-148B6BA7B3A5}" name="Crop"/>
    <tableColumn id="2" xr3:uid="{48138623-305E-4CB7-9630-4DE2B87720F2}" name="Nutrient Volume (L)"/>
    <tableColumn id="8" xr3:uid="{C7794CEF-334C-4868-8586-F5BBBA745BB9}" name="pH (min)">
      <calculatedColumnFormula>IF(Recipes_Crop[[#This Row],[Crop]]="","",IFERROR(IF(ISNUMBER(INDEX(Nutrients_2[C:pH (min)],MATCH(Recipes_Crop[[#This Row],[Crop]],Nutrients_2[For],0))),INDEX(Nutrients_2[C:pH (min)],MATCH(Recipes_Crop[[#This Row],[Crop]],Nutrients_2[For],0)),""),""))</calculatedColumnFormula>
    </tableColumn>
    <tableColumn id="7" xr3:uid="{7DB75A9B-0E02-4AD3-B29B-3A13C1B6A9DB}" name="pH (max)">
      <calculatedColumnFormula>IF(Recipes_Crop[[#This Row],[Crop]]="","",IFERROR(IF(ISNUMBER(INDEX(Nutrients_2[C:pH (max)],MATCH(Recipes_Crop[[#This Row],[Crop]],Nutrients_2[For],0))),INDEX(Nutrients_2[C:pH (max)],MATCH(Recipes_Crop[[#This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A7DB9369-855D-4845-959E-A294CDDEBA36}" name="Water_Test" displayName="Water_Test" ref="A10:R11" totalsRowShown="0">
  <autoFilter ref="A10:R11" xr:uid="{A7DB9369-855D-4845-959E-A294CDDEBA36}"/>
  <tableColumns count="18">
    <tableColumn id="2" xr3:uid="{29202B9C-DBC9-4FED-BF09-74D49F24248E}" name="Total N"/>
    <tableColumn id="3" xr3:uid="{93940945-5167-45AF-BD02-CE81D104A4AF}" name="Urea"/>
    <tableColumn id="4" xr3:uid="{B791DFE5-43A1-43E9-BC32-64A868133D87}" name="Ammonium-N"/>
    <tableColumn id="5" xr3:uid="{FB72B399-E0E5-466A-A652-3A792948E574}" name="Nitrate-N"/>
    <tableColumn id="6" xr3:uid="{0FEA40A9-CE86-432F-BBCE-3DDE1EA77BA6}" name="P"/>
    <tableColumn id="7" xr3:uid="{6C4D08E4-096B-4CDD-8B56-A70302498106}" name="K"/>
    <tableColumn id="8" xr3:uid="{71E44D01-C4DD-402A-8507-4E8A46288A51}" name="Ca"/>
    <tableColumn id="9" xr3:uid="{9139A28D-8066-4E2B-8530-6C565BE0CB36}" name="Mg"/>
    <tableColumn id="10" xr3:uid="{9D49EEE1-B588-4CA2-B339-D20EF81459F5}" name="SO₄²⁻"/>
    <tableColumn id="11" xr3:uid="{CB241D2F-E2BA-45E6-9329-6EB8DF3FAC98}" name="B"/>
    <tableColumn id="12" xr3:uid="{1FAAC4FD-0083-400D-B90C-87481F1FE86C}" name="Cu"/>
    <tableColumn id="13" xr3:uid="{8526FC1C-D9EF-47C4-B5B6-8A7AC143B4C2}" name="Fe"/>
    <tableColumn id="14" xr3:uid="{732588AD-70AA-467E-A67B-CCAED1FFC29A}" name="Mn"/>
    <tableColumn id="15" xr3:uid="{2D4EDE1B-09D4-489A-9096-8349CF78BD94}" name="Mo"/>
    <tableColumn id="16" xr3:uid="{DC84CD26-9863-4DE7-AFA5-C918F74D7C4F}" name="Zn"/>
    <tableColumn id="17" xr3:uid="{4C8B2C30-EBB8-424D-A1EC-BC9AF75860A4}" name="Alkalinity (as CaCO₃)"/>
    <tableColumn id="18" xr3:uid="{5AEC0D93-50BE-4D5E-BEAB-BF41D61EAD2D}" name="pH"/>
    <tableColumn id="19" xr3:uid="{3ABA646F-70DD-4ED5-A649-DF8A1A59E220}" name="EC (dS/m)"/>
  </tableColumns>
  <tableStyleInfo name="TableStyleMedium2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8264F8-681C-4AFE-8322-D3DAF4BD25A1}" name="Seeds" displayName="Seeds" ref="A10:O15" totalsRowShown="0">
  <autoFilter ref="A10:O15" xr:uid="{F08264F8-681C-4AFE-8322-D3DAF4BD25A1}"/>
  <tableColumns count="15">
    <tableColumn id="1" xr3:uid="{FC174007-198D-4F53-989E-6F429546A993}" name="Seed"/>
    <tableColumn id="5" xr3:uid="{CD77627E-2448-4A8B-93E4-124BB9AF4165}" name="Scientific Name" dataDxfId="241"/>
    <tableColumn id="4" xr3:uid="{7BF48AFF-807D-4D9C-9E6C-C89B400B36C0}" name="Common Name" dataDxfId="240"/>
    <tableColumn id="2" xr3:uid="{2C1BFC44-5F71-41CF-A0E2-C742FD72A24D}" name="Brand Name" dataDxfId="239"/>
    <tableColumn id="3" xr3:uid="{35C2DE4F-C1CC-496B-A1CB-4610598B0007}" name="Variety"/>
    <tableColumn id="13" xr3:uid="{7648C0C3-D38C-44FE-A61A-073410EA2ECE}" name="Color"/>
    <tableColumn id="14" xr3:uid="{3C1B9BF6-45B9-4693-A2EE-EFC0AAC6A196}" name="Type"/>
    <tableColumn id="10" xr3:uid="{2EC014FC-7F18-4D25-AE99-7C5496262D28}" name="QC Testing Designation"/>
    <tableColumn id="11" xr3:uid="{BE42176B-7B30-4829-8B2B-7D2F4ED6ADB0}" name="Organic"/>
    <tableColumn id="12" xr3:uid="{7040C9FD-BBB4-4053-9E08-0DBD5015B265}" name="Pelleted"/>
    <tableColumn id="8" xr3:uid="{BE066A96-9F7B-4191-B1D9-70D4AA9EED10}" name="Days Until Germination (min)"/>
    <tableColumn id="9" xr3:uid="{0973C518-5F0D-4806-B4A6-F3B64273F3E4}" name="Days Until Germination (max)"/>
    <tableColumn id="6" xr3:uid="{A9CBA590-FCCF-4897-9523-C303DDA962F5}" name="Days Until Maturity" dataDxfId="238"/>
    <tableColumn id="15" xr3:uid="{85DC5212-2854-4BE4-9396-9DBE7E9DBE9E}" name="Disease Resistance" dataDxfId="237"/>
    <tableColumn id="7" xr3:uid="{96233204-92E0-47F4-8A7E-396449855852}" name="Link"/>
  </tableColumns>
  <tableStyleInfo name="TableStyleMedium2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7F21628-6B95-4285-85B9-E834B5844DA1}" name="zzz_20261002_Jars" displayName="zzz_20261002_Jars" ref="A10:AB60" totalsRowShown="0" headerRowDxfId="233" dataDxfId="232">
  <autoFilter ref="A10:AB60" xr:uid="{184D8FC6-22CB-4693-81FF-C1B0418E63E9}"/>
  <tableColumns count="28">
    <tableColumn id="1" xr3:uid="{9EE5043A-BF5B-4629-B94F-0A6E267AF0E5}" name="Jar"/>
    <tableColumn id="11" xr3:uid="{2BC69488-2877-4DD8-A482-9A8814E681BB}" name="Jar Type" dataDxfId="231"/>
    <tableColumn id="10" xr3:uid="{94B57510-6563-4A2F-BA4A-BF6021C2923B}" name="Jar Name" dataDxfId="230"/>
    <tableColumn id="12" xr3:uid="{30E00674-B43B-49EE-9A05-594A312ED509}" name="Jar Purpose" dataDxfId="229"/>
    <tableColumn id="40" xr3:uid="{A81E2B35-93C3-4E58-ABAA-4D2E27CEE871}" name="Jar Size (mL)" dataDxfId="228">
      <calculatedColumnFormula>IF(zzz_20261002_Jars[[#This Row],[Jar Type]]="", "", TEXT(_xlfn.XLOOKUP(zzz_20261002_Jars[[#This Row],[Jar Type]], 'Containers'!A:A, 'Containers'!C:C), "General"))</calculatedColumnFormula>
    </tableColumn>
    <tableColumn id="21" xr3:uid="{F4CF32B4-2F52-49AF-B15C-3F8EE6DC9D02}" name="Autoclaved" dataDxfId="227"/>
    <tableColumn id="8" xr3:uid="{2417794B-CD20-4A65-97E4-32B55921EDA2}" name="Date Made" dataDxfId="226"/>
    <tableColumn id="13" xr3:uid="{9A7A92EA-E16A-479A-AED6-230DD20F37EA}" name="Water Type" dataDxfId="225"/>
    <tableColumn id="18" xr3:uid="{255A8D15-9FA4-4A92-B43E-5B71F41D6744}" name="Expected Water (min, mL)" dataDxfId="224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calculatedColumnFormula>
    </tableColumn>
    <tableColumn id="22" xr3:uid="{EB4A9EF2-2C8F-4B5F-A83F-381164DA9468}" name="Expected Water (max, mL)" dataDxfId="223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calculatedColumnFormula>
    </tableColumn>
    <tableColumn id="2" xr3:uid="{D4EDAD8F-0B50-4735-A071-503B47D06711}" name="Water Added (mL)" dataDxfId="222"/>
    <tableColumn id="14" xr3:uid="{9FD6F8F0-B5F5-4AA7-88A3-D18A6B234E88}" name="Water Level from Top (mm)" dataDxfId="221"/>
    <tableColumn id="27" xr3:uid="{946DAE0F-8898-4241-93BA-B83D92D16CDC}" name="Target PPM Nitrogen" dataDxfId="220"/>
    <tableColumn id="3" xr3:uid="{F04821F8-DDE5-4C9B-AE08-F6559FAFB747}" name="Fertilizer Added (g)" dataDxfId="219"/>
    <tableColumn id="5" xr3:uid="{5520E1B7-E4E4-4960-A84C-4DDCBA8372A1}" name="pH Procedure" dataDxfId="218"/>
    <tableColumn id="7" xr3:uid="{91CB19FA-FA62-42E8-82F8-723DB00786B1}" name="Initial pH" dataDxfId="217"/>
    <tableColumn id="4" xr3:uid="{1A8F9697-582B-49BF-A5E1-2FD1B53342A7}" name="Initial EC (μS)" dataDxfId="216"/>
    <tableColumn id="20" xr3:uid="{62DAFACA-41FF-405F-AB4F-71BBE51CBE12}" name="Growing Status" dataDxfId="215">
      <calculatedColumnFormula>IF(zzz_20261002_Jars[[#This Row],[Jar]]="", "", IFERROR(IFERROR(_xlfn.XLOOKUP(zzz_20261002_Jars[[#This Row],[Jar]], Growing[Growing Jar], Growing[Status]), _xlfn.XLOOKUP(zzz_20261002_Jars[[#This Row],[Jar]], Growing[Seeding Jar], Growing[Status])), "Ready"))</calculatedColumnFormula>
    </tableColumn>
    <tableColumn id="17" xr3:uid="{4531121E-AD92-46D1-87A9-4F620950766D}" name="Additional Water Added (mL)" dataDxfId="214"/>
    <tableColumn id="23" xr3:uid="{11B01D56-12B2-40A3-9C18-5B025BED966C}" name="Additional Fertilizer Added (g)" dataDxfId="213"/>
    <tableColumn id="24" xr3:uid="{BFBE54ED-2CB9-4CE1-BEDB-917E160B478F}" name="Fertilizer Added Date" dataDxfId="212"/>
    <tableColumn id="26" xr3:uid="{C35AB201-4501-4495-A944-149D045A0E29}" name="Total Water Added (mL)" dataDxfId="211">
      <calculatedColumnFormula array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calculatedColumnFormula>
    </tableColumn>
    <tableColumn id="25" xr3:uid="{8D40264F-0713-429E-B073-C3286F8F8E9C}" name="Total Fertilizer Added (g)" dataDxfId="210">
      <calculatedColumnFormula array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calculatedColumnFormula>
    </tableColumn>
    <tableColumn id="6" xr3:uid="{AC4838BC-E678-4C48-A92A-0882FF5E5D5B}" name="Final pH" dataDxfId="209"/>
    <tableColumn id="19" xr3:uid="{1BE4D601-1BD1-4D50-8843-D4C7DFFE5438}" name="Final EC (μS)" dataDxfId="208"/>
    <tableColumn id="9" xr3:uid="{2F67A701-A5DC-4CCF-A94C-2F6993393534}" name="Exterior" dataDxfId="207"/>
    <tableColumn id="16" xr3:uid="{6B3030D1-2982-4937-98FD-5BD3B5442837}" name="Shade" dataDxfId="206"/>
    <tableColumn id="15" xr3:uid="{2C6B611B-5FD6-44AE-A36F-85C46635A73C}" name="Notes" dataDxfId="205"/>
  </tableColumns>
  <tableStyleInfo name="TableStyleMedium2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DC51ACF-E696-44CF-B533-56AACCE1FE23}" name="xxx_Jars25" displayName="xxx_Jars25" ref="A10:AA60" totalsRowShown="0" headerRowDxfId="200" dataDxfId="199">
  <autoFilter ref="A10:AA60" xr:uid="{184D8FC6-22CB-4693-81FF-C1B0418E63E9}"/>
  <tableColumns count="27">
    <tableColumn id="1" xr3:uid="{4697298C-DFC2-4768-BB65-FA9E4B195BFC}" name="Jar"/>
    <tableColumn id="11" xr3:uid="{56E95090-E1D0-4971-A128-EE69D2E2187B}" name="Jar Type" dataDxfId="198"/>
    <tableColumn id="10" xr3:uid="{D7B02D05-EDD2-4854-B89D-8F1A7AE68DC8}" name="Jar Name" dataDxfId="197"/>
    <tableColumn id="12" xr3:uid="{26966AD0-B4D5-4CB1-B6A6-84BF52CFA356}" name="Jar Purpose" dataDxfId="196"/>
    <tableColumn id="40" xr3:uid="{FB2BA715-6295-4FE9-8ABF-194873E6C16F}" name="Jar Size (mL)" dataDxfId="195">
      <calculatedColumnFormula>IF(xxx_Jars25[[#This Row],[Jar Type]]="", "", TEXT(_xlfn.XLOOKUP(xxx_Jars25[[#This Row],[Jar Type]], 'Containers'!A:A, 'Containers'!C:C), "General"))</calculatedColumnFormula>
    </tableColumn>
    <tableColumn id="21" xr3:uid="{D2967C4E-FBB0-40F1-8AC6-FCF0258029AC}" name="Autoclaved" dataDxfId="194"/>
    <tableColumn id="8" xr3:uid="{83A1A32C-2BF1-4E23-B211-83961178AEF4}" name="Date Made" dataDxfId="193"/>
    <tableColumn id="13" xr3:uid="{8685448D-F5AC-4308-A9A2-4077F752C1D4}" name="Water Type" dataDxfId="192"/>
    <tableColumn id="18" xr3:uid="{ACFBA6D5-E773-4CAA-8B33-9449C9381785}" name="Expected Water (min, mL)" dataDxfId="191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Type]])*(#REF!="1"))), 0), "0000"))</calculatedColumnFormula>
    </tableColumn>
    <tableColumn id="22" xr3:uid="{252F991E-336A-4C92-8246-6F0150089278}" name="Expected Water (max, mL)" dataDxfId="190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Type]])*(#REF!="0"))), 0), "0000"))</calculatedColumnFormula>
    </tableColumn>
    <tableColumn id="2" xr3:uid="{F11E2AFF-86A3-435F-A5AB-46A347F5E453}" name="Water Added (mL)" dataDxfId="189"/>
    <tableColumn id="14" xr3:uid="{B421601C-0F82-4296-956D-5E7B685C99B5}" name="Water Level from Top (mm)" dataDxfId="188"/>
    <tableColumn id="27" xr3:uid="{C5D281CB-838A-4F3C-A982-06794C505538}" name="Target PPM Nitrogen" dataDxfId="187"/>
    <tableColumn id="31" xr3:uid="{6CC17F6A-39ED-465F-A1A8-1080E22E6E0D}" name="Fertilizer" dataDxfId="186"/>
    <tableColumn id="3" xr3:uid="{0F455FE8-B7B1-46DD-BDED-C7A3EDD6799F}" name="Fertilizer Added (g)" dataDxfId="185"/>
    <tableColumn id="17" xr3:uid="{C79573C3-8963-45FF-85FC-70FA298060AD}" name="Fertilizer Added" dataDxfId="184">
      <calculatedColumnFormula>IFERROR(VALUE(xxx_Jars25[[#This Row],[Fertilizer Added (g)]]), 0)</calculatedColumnFormula>
    </tableColumn>
    <tableColumn id="5" xr3:uid="{CB753BEB-DD1F-4DF8-98CF-834154A575E9}" name="pH Procedure" dataDxfId="183"/>
    <tableColumn id="7" xr3:uid="{10773375-3EF9-42F4-B74D-06921FCD3B98}" name="Initial pH" dataDxfId="182"/>
    <tableColumn id="4" xr3:uid="{976A8C34-D05C-4D29-9E28-944521288CC0}" name="Initial EC (μS)" dataDxfId="181"/>
    <tableColumn id="20" xr3:uid="{25B58F3F-1955-4F99-86FA-1923A4CB9A81}" name="Growing Status" dataDxfId="180">
      <calculatedColumnFormula>IF(xxx_Jars25[[#This Row],[Jar]]="", "", IFERROR(IFERROR(_xlfn.XLOOKUP(xxx_Jars25[[#This Row],[Jar]], Growing[Growing Jar], Growing[Status]), _xlfn.XLOOKUP(xxx_Jars25[[#This Row],[Jar]], Growing[Seeding Jar], Growing[Status])), "Ready"))</calculatedColumnFormula>
    </tableColumn>
    <tableColumn id="6" xr3:uid="{E07D585C-F31F-4D01-A09A-35E44FE0BF02}" name="Final pH" dataDxfId="179"/>
    <tableColumn id="19" xr3:uid="{447328C7-2E7D-4F5C-9497-7A3434A50EAD}" name="Final EC (μS/cm)" dataDxfId="178"/>
    <tableColumn id="26" xr3:uid="{FA757504-EF12-4F71-AEFC-77BDC46AB989}" name="Water Added?" dataDxfId="177">
      <calculatedColumnFormula array="1">_xlfn.LET(
    _xlpm.water, xxx_Jars25[[#This Row],[Water Added (mL)]],
    _xlpm.additional,#REF!,
    IF( _xlpm.water="", "", IF(_xlpm.additional="Unknown", VALUE(_xlpm.water), VALUE(_xlpm.water)+VALUE(_xlpm.additional)))
)</calculatedColumnFormula>
    </tableColumn>
    <tableColumn id="25" xr3:uid="{2D001A34-1042-40AC-9DCF-85BBF203407F}" name="C:Total Fertilizer Added (g)" dataDxfId="176">
      <calculatedColumnFormula>IFERROR(SUM(_xlfn.SINGLE(xxx_Jars25[Fertilizer Added]), _xlfn.XLOOKUP(_xlfn.SINGLE(xxx_Jars25[Jar]), JarsPlusPlus_2[Jar], JarsPlusPlus_2[C:Total Fertilizer Added (g)])), _xlfn.SINGLE(xxx_Jars25[Fertilizer Added]))</calculatedColumnFormula>
    </tableColumn>
    <tableColumn id="9" xr3:uid="{1D0B2555-5608-425A-886E-8C58352A2964}" name="Exterior" dataDxfId="175"/>
    <tableColumn id="16" xr3:uid="{38D20DF4-935E-49B4-9A38-215574C111EE}" name="Shade" dataDxfId="174"/>
    <tableColumn id="15" xr3:uid="{9DB6CDDF-D64D-4B2A-B410-8440253DC998}" name="Notes" dataDxfId="173"/>
  </tableColumns>
  <tableStyleInfo name="TableStyleMedium2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9EAD83-430F-4257-9292-8EE939A13D7E}" name="Jars" displayName="Jars" ref="A10:AA60" totalsRowShown="0" headerRowDxfId="167" dataDxfId="166">
  <autoFilter ref="A10:AA60" xr:uid="{184D8FC6-22CB-4693-81FF-C1B0418E63E9}"/>
  <tableColumns count="27">
    <tableColumn id="1" xr3:uid="{44F19964-4971-4133-B3CF-F8238D9C0CBC}" name="Jar"/>
    <tableColumn id="11" xr3:uid="{F0605EAD-DE1E-4186-A18A-4D0F2F9F6064}" name="Jar Type" dataDxfId="165"/>
    <tableColumn id="10" xr3:uid="{FE453BA3-66DB-4536-8B3D-35040B6ABE46}" name="Jar Name" dataDxfId="164"/>
    <tableColumn id="12" xr3:uid="{30E6149B-91DB-4B67-A56B-D46ABCFF85B8}" name="Jar Purpose" dataDxfId="163"/>
    <tableColumn id="40" xr3:uid="{9872DFEF-AE39-47D2-90D1-3A4D57C2C21F}" name="Jar Size (mL)" dataDxfId="162">
      <calculatedColumnFormula>IF(Jars[[#This Row],[Jar Type]]="", "", TEXT(_xlfn.XLOOKUP(Jars[[#This Row],[Jar Type]], 'Containers'!A:A, 'Containers'!C:C), "General"))</calculatedColumnFormula>
    </tableColumn>
    <tableColumn id="21" xr3:uid="{CDAADD7A-0F2C-42CF-A185-9641D0CA8FDB}" name="Autoclaved" dataDxfId="161"/>
    <tableColumn id="8" xr3:uid="{144F692C-501E-4145-A99D-1BE3D2E80EDA}" name="Date Made" dataDxfId="160"/>
    <tableColumn id="13" xr3:uid="{8CAE6306-AD86-4A1C-97B5-A9158C3B5163}" name="Water Type" dataDxfId="159"/>
    <tableColumn id="18" xr3:uid="{8E6A52C3-D4BE-49B4-9AA3-CD8002B9F1B6}" name="Expected Water (min, mL)" dataDxfId="158">
      <calculatedColumnFormula array="1">IF(_xlfn.SINGLE(Jars[Jar Type])="", "", TEXT(IFERROR(MEDIAN(_xlfn._xlws.FILTER(VALUE(Jars[Water Added (mL)]), (Jars[Jar Purpose]=Jars[[#This Row],[Jar Purpose]])*(Jars[Jar Type]=Jars[[#This Row],[Jar Type]])*(#REF!="1"))), 0), "0000"))</calculatedColumnFormula>
    </tableColumn>
    <tableColumn id="22" xr3:uid="{D6EDE8C8-F494-4453-9297-E703851BA48A}" name="Expected Water (max, mL)" dataDxfId="157">
      <calculatedColumnFormula array="1">IF(_xlfn.SINGLE(Jars[Jar Type])="", "", TEXT(IFERROR(MEDIAN(_xlfn._xlws.FILTER(VALUE(Jars[Water Added (mL)]), (Jars[Jar Purpose]=Jars[[#This Row],[Jar Purpose]])*(Jars[Jar Type]=Jars[[#This Row],[Jar Type]])*(#REF!="0"))), 0), "0000"))</calculatedColumnFormula>
    </tableColumn>
    <tableColumn id="2" xr3:uid="{136703CD-BCE7-469C-A3E6-6C970BFFB86E}" name="Water Added (mL)" dataDxfId="156"/>
    <tableColumn id="14" xr3:uid="{1277E8B7-B6AA-41E9-B15F-1B296943254C}" name="Water Level from Top (mm)" dataDxfId="155"/>
    <tableColumn id="27" xr3:uid="{C413596D-8A2E-4F06-951F-C1E7B1172592}" name="Target PPM Nitrogen" dataDxfId="154"/>
    <tableColumn id="31" xr3:uid="{76B33652-051F-4F0A-AAC5-03304B68AB40}" name="Fertilizer" dataDxfId="153"/>
    <tableColumn id="3" xr3:uid="{FB17849C-DAB9-4C58-806D-EF977B29C3CE}" name="Fertilizer Added (g)" dataDxfId="152"/>
    <tableColumn id="17" xr3:uid="{264BD2AE-A512-4AF6-9E54-F6C26907AE02}" name="Fertilizer Added" dataDxfId="151">
      <calculatedColumnFormula>IFERROR(VALUE(Jars[[#This Row],[Fertilizer Added (g)]]), 0)</calculatedColumnFormula>
    </tableColumn>
    <tableColumn id="5" xr3:uid="{19FCA153-17B7-4051-A589-2E97CD427778}" name="pH Procedure" dataDxfId="150"/>
    <tableColumn id="7" xr3:uid="{B90E0C74-5789-4C43-BF1E-6D076BE5A128}" name="Initial pH" dataDxfId="149"/>
    <tableColumn id="4" xr3:uid="{A1E2F699-2FC6-4978-932D-D7B167F79F8A}" name="Initial EC (μS)" dataDxfId="148"/>
    <tableColumn id="20" xr3:uid="{01420999-671B-430D-BF87-D2951EBFD33A}" name="Growing Status" dataDxfId="147">
      <calculatedColumnFormula>IF(Jars[[#This Row],[Jar]]="", "", IFERROR(IFERROR(_xlfn.XLOOKUP(Jars[[#This Row],[Jar]], Growing[Growing Jar], Growing[Status]), _xlfn.XLOOKUP(Jars[[#This Row],[Jar]], Growing[Seeding Jar], Growing[Status])), "Ready"))</calculatedColumnFormula>
    </tableColumn>
    <tableColumn id="6" xr3:uid="{E06AD334-BF64-4428-B8F1-86D162B93C30}" name="Final pH" dataDxfId="146"/>
    <tableColumn id="19" xr3:uid="{427E8067-9736-46C9-925D-430492C58F29}" name="Final EC (μS/cm)" dataDxfId="145"/>
    <tableColumn id="26" xr3:uid="{1D622B96-72C1-4622-82BC-2D44A5AE8128}" name="Water Added?" dataDxfId="144">
      <calculatedColumnFormula array="1">_xlfn.LET(
    _xlpm.water, Jars[[#This Row],[Water Added (mL)]],
    _xlpm.additional,#REF!,
    IF( _xlpm.water="", "", IF(_xlpm.additional="Unknown", VALUE(_xlpm.water), VALUE(_xlpm.water)+VALUE(_xlpm.additional)))
)</calculatedColumnFormula>
    </tableColumn>
    <tableColumn id="25" xr3:uid="{BF6FAED6-9CD2-4D6B-8C0F-0B0EF29A6BA3}" name="C:Total Fertilizer Added (g)" dataDxfId="143">
      <calculatedColumnFormula>IFERROR(SUM(_xlfn.SINGLE(Jars[Fertilizer Added]), _xlfn.XLOOKUP(_xlfn.SINGLE(Jars[Jar]), JarsPlusPlus_2[Jar], JarsPlusPlus_2[C:Total Fertilizer Added (g)])), _xlfn.SINGLE(Jars[Fertilizer Added]))</calculatedColumnFormula>
    </tableColumn>
    <tableColumn id="9" xr3:uid="{CCA9FD24-4763-44F3-A1BC-4C94169B0128}" name="Exterior" dataDxfId="142"/>
    <tableColumn id="16" xr3:uid="{54E50672-321E-40A9-ABE0-D4F0AA30D2B5}" name="Shade" dataDxfId="141"/>
    <tableColumn id="15" xr3:uid="{EE2D6AB8-0F20-4011-98BE-FD91016C652A}" name="Notes" dataDxfId="140"/>
  </tableColumns>
  <tableStyleInfo name="TableStyleMedium2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0A4890B-360D-4FA8-9E07-AF913BCDC852}" name="zzz_20260926_Seeding_and_Growing" displayName="zzz_20260926_Seeding_and_Growing" ref="A10:AG66" totalsRowShown="0" headerRowDxfId="137" dataDxfId="136">
  <autoFilter ref="A10:AG66" xr:uid="{184D8FC6-22CB-4693-81FF-C1B0418E63E9}"/>
  <tableColumns count="33">
    <tableColumn id="38" xr3:uid="{19895B22-8613-40B9-ACC7-FFD17B4BB3C6}" name="Seeding Jar" dataDxfId="135"/>
    <tableColumn id="40" xr3:uid="{7C5809CE-CC2F-45C9-BF73-DC3B32C32DB9}" name="Growing Jar" dataDxfId="134"/>
    <tableColumn id="10" xr3:uid="{557B655B-07D4-4231-945C-86C33909E602}" name="Growing Jar Name" dataDxfId="133">
      <calculatedColumnFormula>IF(zzz_20260926_Seeding_and_Growing[[#This Row],[Growing Jar]]="None", "None", IF(zzz_20260926_Seeding_and_Growing[[#This Row],[Growing Jar]]="", "", _xlfn.XLOOKUP(zzz_20260926_Seeding_and_Growing[[#This Row],[Growing Jar]],Jars!A:A,Jars!C:C)))</calculatedColumnFormula>
    </tableColumn>
    <tableColumn id="16" xr3:uid="{540FE434-CEB2-4786-8287-41C88138BD2A}" name="Date Seeded" dataDxfId="132"/>
    <tableColumn id="35" xr3:uid="{6B49A184-1025-4E3D-8C3C-2CFB013FF086}" name="Net Cup (in)" dataDxfId="131"/>
    <tableColumn id="13" xr3:uid="{79AD3367-988B-4BDC-8602-A735C5671BFB}" name="Growing Medium" dataDxfId="130"/>
    <tableColumn id="9" xr3:uid="{70A6FA72-202E-498C-8A93-052D781C53C9}" name="Seed" dataDxfId="129"/>
    <tableColumn id="11" xr3:uid="{4978D407-B872-4EBF-80A0-55EC34D2D070}" name="3% H2O2 Scarification?" dataDxfId="128"/>
    <tableColumn id="36" xr3:uid="{1D2E8037-71CB-4CCB-8B0B-B4E6961B645A}" name="Expected Germination" dataDxfId="127">
      <calculatedColumnFormula>IF(D11="", "", IF(D11="Unknown", "Unknown", TEXT(D11+_xlfn.XLOOKUP(G11,Seeds!A:A,Seeds!I:I),"yyyy-MM-dd")&amp;"—"&amp;TEXT(D11+_xlfn.XLOOKUP(G11,Seeds!A:A,Seeds!J:J),"yyyy-MM-dd")))</calculatedColumnFormula>
    </tableColumn>
    <tableColumn id="39" xr3:uid="{D90B9447-B7B2-4E79-894C-50A30168E443}" name="Actual Germination" dataDxfId="126"/>
    <tableColumn id="2" xr3:uid="{4E04DD8C-E567-4856-95F2-DEC0590012EB}" name="Transplant Root Length (mm)" dataDxfId="125"/>
    <tableColumn id="1" xr3:uid="{2C628202-C424-4B00-8AAC-E45D04C36DE5}" name="Transplant Date" dataDxfId="124"/>
    <tableColumn id="12" xr3:uid="{B1A95919-A1FC-40FF-A193-CA7D1AA0AC4E}" name="Added 3% H202 for O2?" dataDxfId="123"/>
    <tableColumn id="23" xr3:uid="{D635D3AE-AD62-4A92-BD97-7C93D7D5301A}" name="Expected Harvest" dataDxfId="122">
      <calculatedColumnFormula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calculatedColumnFormula>
    </tableColumn>
    <tableColumn id="20" xr3:uid="{0AA105C5-381C-444D-96FA-99A866B9EBC3}" name="Harvest Method" dataDxfId="121"/>
    <tableColumn id="17" xr3:uid="{69B60585-6CD2-44D8-ADC5-83D33DE14C09}" name="Date of 1st Harvest" dataDxfId="120"/>
    <tableColumn id="29" xr3:uid="{17387C3D-D022-40CD-92A2-A27CBC67C9CB}" name="Harvest Weight (1st, g)" dataDxfId="119"/>
    <tableColumn id="32" xr3:uid="{CB4226D2-D9F6-4EDE-93E3-A18B34069988}" name="Number of +Leaves (1st)" dataDxfId="118"/>
    <tableColumn id="24" xr3:uid="{3E0E7571-C4FE-496E-A403-82D1C97B5B08}" name="Number of -Leaves (1st)" dataDxfId="117"/>
    <tableColumn id="22" xr3:uid="{301F5CF5-49B4-4623-B990-5775E2DFD5F0}" name="Date of 2nd Harvest" dataDxfId="116"/>
    <tableColumn id="30" xr3:uid="{90D33F92-0F94-4C0F-B800-1FA78AB178DB}" name="Harvest Weight (2nd, g)" dataDxfId="115"/>
    <tableColumn id="34" xr3:uid="{FA1C936B-6BAC-4144-9BD4-AC25C15546FF}" name="Number of +Leaves (2nd)" dataDxfId="114"/>
    <tableColumn id="25" xr3:uid="{85A09052-F9E0-4EC5-B89C-02C1A9AFB69F}" name="Number of -Leaves (2nd)" dataDxfId="113"/>
    <tableColumn id="18" xr3:uid="{B8260472-8265-458F-AB4E-28DF6E4A3E39}" name="Date Terminated" dataDxfId="112"/>
    <tableColumn id="19" xr3:uid="{99278341-A782-4CB4-852A-24F7DC9ABBD6}" name="Stopped Reason" dataDxfId="111"/>
    <tableColumn id="31" xr3:uid="{A983C208-A066-4FD4-9C6E-DFD04E4697BE}" name="Stem Diameter (1st, mm)" dataDxfId="110"/>
    <tableColumn id="33" xr3:uid="{A5FAF149-DC2F-48F5-A800-FB57341C45E5}" name="Stem Diameter (2nd, mm)" dataDxfId="109"/>
    <tableColumn id="26" xr3:uid="{FD89E183-2AEF-4CC1-A504-06A6A155EE15}" name="Root Color" dataDxfId="108"/>
    <tableColumn id="27" xr3:uid="{BCE1971C-91A9-4763-9F02-BC04F3804BDE}" name="Root Branching" dataDxfId="107"/>
    <tableColumn id="28" xr3:uid="{D9F13CBB-B62B-49E7-BF3F-00A1B070ABBC}" name="Root Texture" dataDxfId="106"/>
    <tableColumn id="14" xr3:uid="{1DAE7CB4-99F4-443B-A0D3-DD2917D3DC09}" name="pH After Death" dataDxfId="105"/>
    <tableColumn id="21" xr3:uid="{96095A24-134B-4FD0-B125-10C59C2C57DF}" name="EC After Death (μS)" dataDxfId="104"/>
    <tableColumn id="15" xr3:uid="{EF49D56E-F5F5-411B-AA0A-5F937369F697}" name="Notes" dataDxfId="103"/>
  </tableColumns>
  <tableStyleInfo name="TableStyleMedium2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8366CA5-E3FD-4813-9540-4BF4D0B9E49F}" name="zzz_20260926_Harvest_and_Storage" displayName="zzz_20260926_Harvest_and_Storage" ref="A10:K44" totalsRowShown="0" headerRowDxfId="100" dataDxfId="99">
  <autoFilter ref="A10:K44" xr:uid="{04B7A519-E55D-4934-8B07-F1C8A7A5263E}"/>
  <tableColumns count="11">
    <tableColumn id="1" xr3:uid="{026D8677-C435-474C-81D0-AB102D4FF093}" name="Name" dataDxfId="98"/>
    <tableColumn id="14" xr3:uid="{34B379DE-4E3A-4AEB-AE02-3AF341BBB66F}" name="Date Harvested" dataDxfId="97"/>
    <tableColumn id="7" xr3:uid="{0E2A448D-6660-4AD1-87F6-A190B77B6617}" name="Plant" dataDxfId="96"/>
    <tableColumn id="9" xr3:uid="{63E72551-B7EB-47EA-9164-EDCBB714A1DB}" name="Drying Procedure" dataDxfId="95"/>
    <tableColumn id="10" xr3:uid="{C9297F32-5867-4785-899B-D271D9D73CC5}" name="Taste" dataDxfId="94"/>
    <tableColumn id="3" xr3:uid="{AE3D6BA2-2AD4-40AA-9889-2DB9454CFFD5}" name="Storage Media" dataDxfId="93"/>
    <tableColumn id="8" xr3:uid="{4875E208-9F1B-4E5F-BCA0-31B760E50442}" name="Storage Location" dataDxfId="92"/>
    <tableColumn id="4" xr3:uid="{5EA8AD7A-FAD0-4008-9F29-EA234DA6DF38}" name="Date First Wilted" dataDxfId="91"/>
    <tableColumn id="5" xr3:uid="{23BC8BB6-C364-4239-B166-F2D097F824F5}" name="Date of Spoilage" dataDxfId="90"/>
    <tableColumn id="11" xr3:uid="{5A791B18-B755-4D87-BB7D-939C4CDA0898}" name="Spoilage Reason" dataDxfId="89"/>
    <tableColumn id="6" xr3:uid="{D2309F1D-EFD1-4022-8A13-294E5584B8A9}" name="Notes" dataDxfId="88"/>
  </tableColumns>
  <tableStyleInfo name="TableStyleMedium2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ADF7B22-E425-419E-9CFC-6932243118D1}" name="xxx_JarsPlusPlus_126" displayName="xxx_JarsPlusPlus_126" ref="A10:L35" totalsRowShown="0">
  <autoFilter ref="A10:L35" xr:uid="{060E40AC-59BA-4134-9D36-13FDE6ACAE83}"/>
  <tableColumns count="12">
    <tableColumn id="1" xr3:uid="{9206BB08-9842-4B89-A7A0-B1E14715FAC5}" name="Jar"/>
    <tableColumn id="3" xr3:uid="{436A4EB1-E821-4E83-990D-4139EF7DF7D9}" name="Date Added"/>
    <tableColumn id="2" xr3:uid="{16594A2E-D2B5-4D15-A79B-B1DE6A81204A}" name="Initial pH"/>
    <tableColumn id="4" xr3:uid="{E32297EE-018B-42F7-9105-091010F287ED}" name="Initial EC (μs/cm)"/>
    <tableColumn id="9" xr3:uid="{83D2F70D-535F-4A94-988B-B45777B3B188}" name="Water Type"/>
    <tableColumn id="24" xr3:uid="{71F5D8A5-FBD6-405B-8556-07DF813F14CF}" name="Water Added (mL)"/>
    <tableColumn id="5" xr3:uid="{9E05A839-EF47-4D07-BFE5-B6C137F73054}" name="V:Water Added (mL)">
      <calculatedColumnFormula>IFERROR(VALUE(xxx_JarsPlusPlus_126[[#This Row],[Water Added (mL)]]), 0)</calculatedColumnFormula>
    </tableColumn>
    <tableColumn id="14" xr3:uid="{F8E8144C-CF60-424B-BFC9-83705629E27D}" name="Target PPM Nitrogen"/>
    <tableColumn id="23" xr3:uid="{676F0B0B-9FA5-4F72-B1D2-BB0B11384B0A}" name="Fertilizer Added (g)"/>
    <tableColumn id="6" xr3:uid="{C2AA7C91-1F35-45BF-A0C6-781958AB2447}" name="V:Fertilizer Added (g)">
      <calculatedColumnFormula>IFERROR(VALUE(xxx_JarsPlusPlus_126[[#This Row],[Fertilizer Added (g)]]), 0)</calculatedColumnFormula>
    </tableColumn>
    <tableColumn id="19" xr3:uid="{02995254-2E44-4B66-B695-DB0CA80CE216}" name="Final pH"/>
    <tableColumn id="18" xr3:uid="{10352B12-6D05-44B8-9025-BDD14492FBCB}" name="Final EC (μS/cm)"/>
  </tableColumns>
  <tableStyleInfo name="TableStyleMedium2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6153DD7-0434-4BBB-B830-370B8299A224}" name="xxx_JarsPlusPlus_227" displayName="xxx_JarsPlusPlus_227" ref="Q10:S34" totalsRowShown="0">
  <autoFilter ref="Q10:S34" xr:uid="{3B6ACAD2-696F-4AD9-A0BA-72F0BBE77D74}"/>
  <tableColumns count="3">
    <tableColumn id="3" xr3:uid="{29C5CFA1-475E-4E74-A511-17D6A50EAD78}" name="Jar">
      <calculatedColumnFormula array="1">_xlfn.LET(_xlpm.value, OFFSET(INDIRECT(ADDRESS(ROW(),COLUMN())),0,-3), IF(_xlpm.value="","",_xlpm.value))</calculatedColumnFormula>
    </tableColumn>
    <tableColumn id="1" xr3:uid="{A5EC9FF2-E389-44A8-AF55-EDFC7CE9D259}" name="C:Total Water Added (mL)">
      <calculatedColumnFormula array="1">_xlfn.LET(_xlpm.value, OFFSET(INDIRECT(ADDRESS(ROW(),COLUMN())),0,-3), IF(_xlpm.value="","",_xlpm.value))</calculatedColumnFormula>
    </tableColumn>
    <tableColumn id="2" xr3:uid="{7A565AC2-06AB-4F18-8DEB-CB167C9CD924}" name="C:Total Fertilizer Added (g)">
      <calculatedColumnFormula array="1">_xlfn.LET(_xlpm.value, OFFSET(INDIRECT(ADDRESS(ROW(),COLUMN())),0,-3), IF(_xlpm.value="","",_xlpm.value))</calculatedColumnFormula>
    </tableColumn>
  </tableColumns>
  <tableStyleInfo name="TableStyleMedium2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60E40AC-59BA-4134-9D36-13FDE6ACAE83}" name="JarsPlusPlus_1" displayName="JarsPlusPlus_1" ref="A10:L35" totalsRowShown="0">
  <autoFilter ref="A10:L35" xr:uid="{060E40AC-59BA-4134-9D36-13FDE6ACAE83}"/>
  <tableColumns count="12">
    <tableColumn id="1" xr3:uid="{3066D79B-0374-43DC-A12F-DD365782390D}" name="Jar"/>
    <tableColumn id="3" xr3:uid="{CC54194E-18B5-42B0-9BA4-B60789BB8D2C}" name="Date Added"/>
    <tableColumn id="2" xr3:uid="{0FD6575D-D943-49B6-8E92-417870E6C08E}" name="Initial pH"/>
    <tableColumn id="4" xr3:uid="{174EC058-DF1A-4CE9-A433-E6152C30FA43}" name="Initial EC (μs/cm)"/>
    <tableColumn id="9" xr3:uid="{FC4B3116-128F-4EF8-83F7-E640B22C3334}" name="Water Type"/>
    <tableColumn id="24" xr3:uid="{9F858D90-C1A3-426E-BF52-62F4DC380DED}" name="Water Added (mL)"/>
    <tableColumn id="5" xr3:uid="{1F3EA8A2-69A9-4BC5-A263-AB9C74303FAB}" name="V:Water Added (mL)">
      <calculatedColumnFormula>IFERROR(VALUE(JarsPlusPlus_1[[#This Row],[Water Added (mL)]]), 0)</calculatedColumnFormula>
    </tableColumn>
    <tableColumn id="14" xr3:uid="{672FDAA5-4630-4DDB-9AEE-16AD69A960CC}" name="Target PPM Nitrogen"/>
    <tableColumn id="23" xr3:uid="{C27616EE-9028-42A0-B1DF-29DAF794ACD6}" name="Fertilizer Added (g)"/>
    <tableColumn id="6" xr3:uid="{4992484C-2866-4FEF-A7C3-0C0B03131D5D}" name="V:Fertilizer Added (g)">
      <calculatedColumnFormula>IFERROR(VALUE(JarsPlusPlus_1[[#This Row],[Fertilizer Added (g)]]), 0)</calculatedColumnFormula>
    </tableColumn>
    <tableColumn id="19" xr3:uid="{4ECCFA79-5020-443A-B2C1-D85F374CFCA2}" name="Final pH"/>
    <tableColumn id="18" xr3:uid="{2B2D0F7C-D899-4228-914F-D68443B6A833}" name="Final EC (μS/cm)"/>
  </tableColumns>
  <tableStyleInfo name="TableStyleMedium2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B6ACAD2-696F-4AD9-A0BA-72F0BBE77D74}" name="JarsPlusPlus_2" displayName="JarsPlusPlus_2" ref="Q10:S34" totalsRowShown="0">
  <autoFilter ref="Q10:S34" xr:uid="{3B6ACAD2-696F-4AD9-A0BA-72F0BBE77D74}"/>
  <tableColumns count="3">
    <tableColumn id="3" xr3:uid="{C149FD4B-A748-4539-B5BF-499173A08C09}" name="Jar">
      <calculatedColumnFormula array="1">_xlfn.LET(_xlpm.value, OFFSET(INDIRECT(ADDRESS(ROW(),COLUMN())),0,-3), IF(_xlpm.value="","",_xlpm.value))</calculatedColumnFormula>
    </tableColumn>
    <tableColumn id="1" xr3:uid="{B190AE28-C09B-4BB9-89F2-91811476D977}" name="C:Total Water Added (mL)">
      <calculatedColumnFormula array="1">_xlfn.LET(_xlpm.value, OFFSET(INDIRECT(ADDRESS(ROW(),COLUMN())),0,-3), IF(_xlpm.value="","",_xlpm.value))</calculatedColumnFormula>
    </tableColumn>
    <tableColumn id="2" xr3:uid="{005C9D5B-6F5B-4CBB-8C25-5B311C8EFE90}" name="C:Total Fertilizer Added (g)">
      <calculatedColumnFormula array="1">_xlfn.LET(_xlpm.value, OFFSET(INDIRECT(ADDRESS(ROW(),COLUMN())),0,-3), IF(_xlpm.value="","",_xlpm.value))</calculatedColumnFormula>
    </tableColumn>
  </tableColumns>
  <tableStyleInfo name="TableStyleMedium2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6160E6A-400D-4411-8038-1441ABBC8218}" name="Cups" displayName="Cups" ref="A10:J66" totalsRowShown="0" headerRowDxfId="83" dataDxfId="82">
  <autoFilter ref="A10:J66" xr:uid="{184D8FC6-22CB-4693-81FF-C1B0418E63E9}"/>
  <tableColumns count="10">
    <tableColumn id="38" xr3:uid="{AC0FF5A8-B5B1-4996-8053-5E384E7680D8}" name="Id" dataDxfId="81"/>
    <tableColumn id="16" xr3:uid="{4A120448-D2BB-4871-8A45-DFC9A37B07EC}" name="Date Made" dataDxfId="80"/>
    <tableColumn id="35" xr3:uid="{327CD5F6-C93A-409B-B1F8-B4E66F1B43DD}" name="Net Cup (in)" dataDxfId="79"/>
    <tableColumn id="6" xr3:uid="{BCD44804-E1D8-491C-8473-DD7719E8FFC0}" name="Autoclaved Cup" dataDxfId="78"/>
    <tableColumn id="13" xr3:uid="{3513F2AE-D8FE-40B8-837E-A7928E51A4D5}" name="Growing Medium" dataDxfId="77"/>
    <tableColumn id="7" xr3:uid="{9B6B0D81-454F-4A24-8211-05D1484AA730}" name="Autoclaved Medium" dataDxfId="76"/>
    <tableColumn id="15" xr3:uid="{35EC13AC-67DA-493A-8463-18AC603D73FA}" name="Date Seeded" dataDxfId="75"/>
    <tableColumn id="9" xr3:uid="{AB758B39-6B7B-4C2D-A695-DF5545F1BA8A}" name="Seed" dataDxfId="74"/>
    <tableColumn id="10" xr3:uid="{319AD9A8-97BC-45B3-A7ED-656C377A7B92}" name="Scarification Procedure" dataDxfId="73"/>
    <tableColumn id="11" xr3:uid="{395CCE9B-AC03-45EF-A6EB-446DEB56CEEA}" name="Notes" dataDxfId="72"/>
  </tableColumns>
  <tableStyleInfo name="TableStyleMedium2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D8FC6-22CB-4693-81FF-C1B0418E63E9}" name="Growing" displayName="Growing" ref="A10:AB66" totalsRowShown="0" headerRowDxfId="67" dataDxfId="66">
  <autoFilter ref="A10:AB66" xr:uid="{184D8FC6-22CB-4693-81FF-C1B0418E63E9}"/>
  <tableColumns count="28">
    <tableColumn id="38" xr3:uid="{30911066-88B7-4E62-B45B-743CE1586971}" name="Seeding Jar" dataDxfId="65"/>
    <tableColumn id="40" xr3:uid="{E6F1A1FD-28F7-488F-96F9-01B530676882}" name="Growing Jar" dataDxfId="64"/>
    <tableColumn id="6" xr3:uid="{9AEBB6FD-4BCA-4544-9726-F84DA45D18F4}" name="Seed Cup" dataDxfId="63"/>
    <tableColumn id="9" xr3:uid="{771CA64C-18D9-4682-90E0-98989949A3B8}" name="Seed" dataDxfId="62">
      <calculatedColumnFormula array="1">_xlfn.LET(_xlpm.value, _xlfn.XLOOKUP(Growing[[#This Row],[Seed Cup]], Cups[Id], Cups[Seed]), IF(_xlpm.value="", "", _xlpm.value))</calculatedColumnFormula>
    </tableColumn>
    <tableColumn id="7" xr3:uid="{38492EEB-4EEB-488C-94B1-E88F197CFD67}" name="Seed Name" dataDxfId="61">
      <calculatedColumnFormula array="1">_xlfn.LET(_xlpm.value, _xlfn.XLOOKUP(Growing[[#This Row],[Seed]], Seeds[Seed], Seeds[Common Name]), IFERROR(_xlpm.value, ""))</calculatedColumnFormula>
    </tableColumn>
    <tableColumn id="10" xr3:uid="{8ACAD5CF-E697-4CD9-B7C3-40CA3696A024}" name="Growing Jar Name" dataDxfId="60">
      <calculatedColumnFormula>IF(Growing[[#This Row],[Growing Jar]]="None", "None", IF(Growing[[#This Row],[Growing Jar]]="", "", _xlfn.XLOOKUP(Growing[[#This Row],[Growing Jar]],Jars!A:A,Jars!C:C)))</calculatedColumnFormula>
    </tableColumn>
    <tableColumn id="4" xr3:uid="{270A943A-887F-4D82-A899-AF020891D1C6}" name="Status" dataDxfId="59">
      <calculatedColumnFormula array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calculatedColumnFormula>
    </tableColumn>
    <tableColumn id="16" xr3:uid="{8BBE647F-A80F-405A-BBB3-ABB727B6AD4F}" name="Date Seeded" dataDxfId="58">
      <calculatedColumnFormula array="1">_xlfn.LET(_xlpm.value, _xlfn.XLOOKUP(Growing[[#This Row],[Seed Cup]], Cups[Id], Cups[Date Seeded]), IF(_xlpm.value="", "", _xlpm.value))</calculatedColumnFormula>
    </tableColumn>
    <tableColumn id="36" xr3:uid="{D2847216-21BB-4313-AE2B-B3B64301F1D8}" name="Expected Germination (min)" dataDxfId="57">
      <calculatedColumnFormula>IF(Growing[[#This Row],[Date Seeded]]="", "", IF(Growing[[#This Row],[Date Seeded]]="Unknown", "Unknown", TEXT(Growing[[#This Row],[Date Seeded]]+_xlfn.XLOOKUP(Growing[[#This Row],[Seed]],Seeds[Seed],Seeds[Days Until Germination (min)]),"yyyy-MM-dd")))</calculatedColumnFormula>
    </tableColumn>
    <tableColumn id="8" xr3:uid="{F1E6B3BE-16F8-46B1-B47F-E70C1C2C8E57}" name="Expected Germination (max)" dataDxfId="56">
      <calculatedColumnFormula>IF(Growing[[#This Row],[Date Seeded]]="", "", IF(Growing[[#This Row],[Date Seeded]]="Unknown", "Unknown", TEXT(Growing[[#This Row],[Date Seeded]]+_xlfn.XLOOKUP(Growing[[#This Row],[Seed]],Seeds[Seed],Seeds[Days Until Germination (max)]),"yyyy-MM-dd")))</calculatedColumnFormula>
    </tableColumn>
    <tableColumn id="39" xr3:uid="{290DDB16-CEC3-451D-B107-126B6756229F}" name="Actual Germination" dataDxfId="55"/>
    <tableColumn id="2" xr3:uid="{DA83A169-395A-4426-A281-2207716035AB}" name="Transplant Root Length (mm)" dataDxfId="54"/>
    <tableColumn id="1" xr3:uid="{CEE5A2D1-717B-4675-A9E2-C1FE973D9509}" name="Transplant Date" dataDxfId="53"/>
    <tableColumn id="12" xr3:uid="{23460E49-6CAA-4321-9D39-EE5F1090328F}" name="Water Procedure" dataDxfId="52"/>
    <tableColumn id="23" xr3:uid="{558EC0D7-909D-4AF4-BA4D-CB2983BF58B9}" name="Expected Harvest" dataDxfId="51">
      <calculatedColumnFormula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calculatedColumnFormula>
    </tableColumn>
    <tableColumn id="18" xr3:uid="{20EF10E8-5CC1-4AAC-9A87-FF790F638A39}" name="Date Terminated" dataDxfId="50"/>
    <tableColumn id="19" xr3:uid="{BCA8402D-9145-4F28-8EE8-F88617C868F5}" name="Stopped Reason" dataDxfId="49"/>
    <tableColumn id="33" xr3:uid="{49C37517-0F00-4A0D-9E8F-6780C310DE4A}" name="Final Stem Diameter (mm)" dataDxfId="48"/>
    <tableColumn id="13" xr3:uid="{A28BB850-F958-4DCB-BB7B-01FD149A25B1}" name="Stem Node Count" dataDxfId="47"/>
    <tableColumn id="14" xr3:uid="{366B0904-725B-4465-B575-DFDACC2B5A55}" name="Stem Branch Count" dataDxfId="46"/>
    <tableColumn id="17" xr3:uid="{0C628D4E-E5B1-4CF2-A443-AD5164D3AB9A}" name="Number Leaves" dataDxfId="45"/>
    <tableColumn id="31" xr3:uid="{4796C1C4-77EB-45A7-AA08-5D5D8FF77606}" name="Final Root Length (mm)" dataDxfId="44"/>
    <tableColumn id="26" xr3:uid="{4B593098-69DB-4D0F-BA19-6B6AC01E5362}" name="Root Color" dataDxfId="43"/>
    <tableColumn id="27" xr3:uid="{0AC3874A-2145-4D85-8458-2443CF1AB510}" name="Root Branching" dataDxfId="42"/>
    <tableColumn id="28" xr3:uid="{28564AB6-4207-47E4-896F-29DB3F94CC0E}" name="Root Texture" dataDxfId="41"/>
    <tableColumn id="5" xr3:uid="{91610EDD-33AE-4203-AAEE-E309685A006D}" name="Root Node Count" dataDxfId="40"/>
    <tableColumn id="11" xr3:uid="{22EC2D21-7A61-4C9B-B6AA-30CC73C36BC3}" name="Root Branch Count" dataDxfId="39"/>
    <tableColumn id="15" xr3:uid="{0172651F-9904-41C8-9A67-2612FD5D7755}" name="Notes" dataDxfId="38"/>
  </tableColumns>
  <tableStyleInfo name="TableStyleMedium2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B7A519-E55D-4934-8B07-F1C8A7A5263E}" name="Harvest" displayName="Harvest" ref="A10:J43" totalsRowShown="0">
  <autoFilter ref="A10:J43" xr:uid="{04B7A519-E55D-4934-8B07-F1C8A7A5263E}"/>
  <tableColumns count="10">
    <tableColumn id="13" xr3:uid="{8DC67C94-F997-4762-B998-AB45650C0B93}" name="Growing Jar"/>
    <tableColumn id="1" xr3:uid="{A7F2DE17-4D27-450F-A163-EF367CB4D684}" name="Storage Id"/>
    <tableColumn id="15" xr3:uid="{B01C953A-B040-4672-9970-F5E7991DBA1E}" name="Harvest Number"/>
    <tableColumn id="2" xr3:uid="{617D9269-73D5-4235-93A9-EA00127EA96A}" name="Harvest Method"/>
    <tableColumn id="14" xr3:uid="{51EA4B1A-E553-41CB-ADA5-1052C45DF022}" name="Date Harvested"/>
    <tableColumn id="16" xr3:uid="{6E75AA53-D6C2-40B4-A2C2-50CC53C272A0}" name="Number of Leaves (+)"/>
    <tableColumn id="17" xr3:uid="{30A8C0FB-7496-41BE-8A7C-1EBB890BE05B}" name="Number of Leaves (-)"/>
    <tableColumn id="7" xr3:uid="{58295CB8-3E2E-410D-A53D-C5DE33E9AD09}" name="Harvest Weight (g)"/>
    <tableColumn id="10" xr3:uid="{45690A6D-2A56-4854-8A22-523267D11609}" name="Taste"/>
    <tableColumn id="6" xr3:uid="{2DF5C6EE-34D3-4865-82E4-699B91E1DAF2}" name="Notes"/>
  </tableColumns>
  <tableStyleInfo name="TableStyleMedium2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98E9D64-63F6-4D24-85D2-4CA8AEB314C2}" name="Storage" displayName="Storage" ref="A10:I46" totalsRowShown="0">
  <autoFilter ref="A10:I46" xr:uid="{04B7A519-E55D-4934-8B07-F1C8A7A5263E}"/>
  <tableColumns count="9">
    <tableColumn id="1" xr3:uid="{67F07DEC-6B65-4626-9C39-D7F98F9C9A5B}" name="Id"/>
    <tableColumn id="19" xr3:uid="{0AD2EE53-8438-439E-80B3-DAF27192B5B3}" name="Washing Procedure"/>
    <tableColumn id="18" xr3:uid="{54BDB0FD-0C65-477D-96C1-6D09BE4FDC7D}" name="Drying Procedure"/>
    <tableColumn id="3" xr3:uid="{2459AECB-AFD4-4683-B619-324097E15755}" name="Storage Container"/>
    <tableColumn id="8" xr3:uid="{37B06B3C-1B5F-4383-B3A4-4F995366B0C4}" name="Storage Location"/>
    <tableColumn id="4" xr3:uid="{9ACAC385-1164-43CA-8D23-7AC6231812D0}" name="Date First Wilted"/>
    <tableColumn id="5" xr3:uid="{A380F4E6-ACFC-4A2C-9236-F26BC6207BFE}" name="Date of Spoilage"/>
    <tableColumn id="11" xr3:uid="{8B62A537-1857-45F6-AFEB-533B4E54F6C3}" name="Spoilage Reason"/>
    <tableColumn id="6" xr3:uid="{94641B67-A8EF-4356-B5A3-6DC9D9679302}" name="Notes"/>
  </tableColumns>
  <tableStyleInfo name="TableStyleMedium2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1BE7D8-88CE-4355-87E6-E3305A844B03}" name="Temp" displayName="Temp" ref="A10:I24" totalsRowShown="0" headerRowDxfId="34">
  <autoFilter ref="A10:I24" xr:uid="{A01BE7D8-88CE-4355-87E6-E3305A844B03}"/>
  <tableColumns count="9">
    <tableColumn id="9" xr3:uid="{AA172D5A-FA0C-4AE6-867B-4BA31B78A0B1}" name="Jar" dataDxfId="33"/>
    <tableColumn id="6" xr3:uid="{FC9A1C26-8391-41CF-AABE-CF79E02EFD9E}" name="Jar Exterior" dataDxfId="32">
      <calculatedColumnFormula>IF((A11)="", "", _xlfn.XLOOKUP(A11,Jars!A:A,Jars!R:R))</calculatedColumnFormula>
    </tableColumn>
    <tableColumn id="10" xr3:uid="{01E5CB02-C9D4-4C00-A676-9516A268076F}" name="Jar Shade" dataDxfId="31">
      <calculatedColumnFormula>IF((A11)="", "", _xlfn.XLOOKUP(A11,Jars!A:A,Jars!S:S))</calculatedColumnFormula>
    </tableColumn>
    <tableColumn id="1" xr3:uid="{44A6AB68-FB86-415F-BC6C-09658C03950C}" name="Date" dataDxfId="30"/>
    <tableColumn id="2" xr3:uid="{7A75CDDB-61B6-4659-8091-7755E2495174}" name="Time" dataDxfId="29"/>
    <tableColumn id="3" xr3:uid="{5A4EB787-A366-4F60-A5D8-A4A76D99C125}" name="Temp (°C)" dataDxfId="28"/>
    <tableColumn id="7" xr3:uid="{0B9619E0-0C0E-43A8-A235-916D0D5FB299}" name="Outdoor Temp (°F)" dataDxfId="27"/>
    <tableColumn id="8" xr3:uid="{EE2F538B-278B-4C2D-8841-DB19E6621F2E}" name="Outdoor Weather" dataDxfId="26"/>
    <tableColumn id="11" xr3:uid="{DEBBD0F2-370F-4B88-8AEB-F9FFCEFD58FE}" name="Notes" dataDxfId="25"/>
  </tableColumns>
  <tableStyleInfo name="TableStyleMedium2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84A0AFA-6C17-4E97-A28F-DA062CD9486D}" name="vRG_1" displayName="vRG_1" ref="A10:I66" totalsRowShown="0">
  <autoFilter ref="A10:I66" xr:uid="{784A0AFA-6C17-4E97-A28F-DA062CD9486D}"/>
  <tableColumns count="9">
    <tableColumn id="1" xr3:uid="{5E64AB4B-85DE-426E-9DFD-B5E2A3DD4B93}" name="Seeding Jar" dataDxfId="24">
      <calculatedColumnFormula array="1">_xlfn.LET(
    _xlpm.value, INDEX(Growing[Seeding Jar], ROW()-ROW(Growing[#Headers])),
    IF(_xlpm.value="", "", _xlpm.value)
)</calculatedColumnFormula>
    </tableColumn>
    <tableColumn id="8" xr3:uid="{950DBAC1-2A7F-4D0C-8F05-54E37AD8D587}" name="Fertilizer Added (g)" dataDxfId="23">
      <calculatedColumnFormula>IF(vRG_1[[#This Row],[Seeding Jar]]="", "", VALUE(_xlfn.XLOOKUP(SUBSTITUTE(vRG_1[[#This Row],[Seeding Jar]], "*", ""), Jars[Jar], Jars[Fertilizer Added (g)])))</calculatedColumnFormula>
    </tableColumn>
    <tableColumn id="2" xr3:uid="{F04A8A6D-0A9E-49B2-B217-9338E7C610BF}" name="Seed" dataDxfId="22">
      <calculatedColumnFormula>TRIM(Growing[[#This Row],[Seed]])</calculatedColumnFormula>
    </tableColumn>
    <tableColumn id="3" xr3:uid="{3EBD0B73-B3EF-4FAA-B3D4-E6D697DBD69C}" name="Date Seeded" dataDxfId="21">
      <calculatedColumnFormula>IF(Growing[[#This Row],[Date Seeded]]="", "", TEXT(Growing[[#This Row],[Date Seeded]], "YYYY-MM-dd"))</calculatedColumnFormula>
    </tableColumn>
    <tableColumn id="4" xr3:uid="{32A89140-B98E-401D-88D8-61470F5C9FA4}" name="Transplant Date" dataDxfId="20">
      <calculatedColumnFormula>IF(Growing[[#This Row],[Transplant Date]]="", "", TEXT(Growing[[#This Row],[Transplant Date]], "YYYY-MM-dd"))</calculatedColumnFormula>
    </tableColumn>
    <tableColumn id="5" xr3:uid="{666B5737-92EC-4B85-9CEB-3D07671BC0CF}" name="Transplant Root Length (mm)" dataDxfId="19">
      <calculatedColumnFormula>IF(Growing[[#This Row],[Transplant Root Length (mm)]]="", "", IFERROR(VALUE(Growing[[#This Row],[Transplant Root Length (mm)]]), ""))</calculatedColumnFormula>
    </tableColumn>
    <tableColumn id="6" xr3:uid="{867553EF-0023-4254-BECA-988FE35E6693}" name="Days Between" dataDxfId="18">
      <calculatedColumnFormula>IFERROR(VALUE(DATEVALUE(vRG_1[[#This Row],[Transplant Date]])-DATEVALUE(vRG_1[[#This Row],[Date Seeded]])), "")</calculatedColumnFormula>
    </tableColumn>
    <tableColumn id="7" xr3:uid="{BCC02A0F-6156-40BE-B64D-C4AB719E19FD}" name="Root Length per Day (mm/day)" dataDxfId="17">
      <calculatedColumnFormula>IFERROR(ROUND(vRG_1[[#This Row],[Transplant Root Length (mm)]]/vRG_1[[#This Row],[Days Between]], 2), "")</calculatedColumnFormula>
    </tableColumn>
    <tableColumn id="9" xr3:uid="{82297F07-5024-4DF2-9CD1-D56B4B7D91C6}" name="Include" dataDxfId="16">
      <calculatedColumnFormula>IF(AND(ISNUMBER(vRG_1[[#This Row],[Transplant Root Length (mm)]]),ISNUMBER(vRG_1[[#This Row],[Days Between]]),vRG_1[[#This Row],[Days Between]]&gt;0,ISNUMBER(vRG_1[[#This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43B693C-02E5-4BD1-98FD-9DC59FCFAC81}" name="vRG_2" displayName="vRG_2" ref="M10:O36" totalsRowShown="0">
  <autoFilter ref="M10:O36" xr:uid="{943B693C-02E5-4BD1-98FD-9DC59FCFAC81}"/>
  <tableColumns count="3">
    <tableColumn id="1" xr3:uid="{D034CAD2-EED6-480D-A5F4-E9155E028A5C}" name="Seed" dataDxfId="15">
      <calculatedColumnFormula array="1">_xlfn.LET(_xlpm.value, OFFSET(INDIRECT(ADDRESS(ROW(),COLUMN())),0,-2), IF(_xlpm.value="","",_xlpm.value))</calculatedColumnFormula>
    </tableColumn>
    <tableColumn id="2" xr3:uid="{4AEBB588-9548-45F3-AF04-901C5CFFD9DD}" name="Fertilizer Added (g)" dataDxfId="14">
      <calculatedColumnFormula array="1">_xlfn.LET(_xlpm.value, OFFSET(INDIRECT(ADDRESS(ROW(),COLUMN())),0,-2), IF(_xlpm.value="","",_xlpm.value))</calculatedColumnFormula>
    </tableColumn>
    <tableColumn id="4" xr3:uid="{DDE3498E-B76B-4D34-96EE-0C85906B6CE7}" name="Average Transplant Root Length (mm) / Day" dataDxfId="13">
      <calculatedColumnFormula>IFERROR(ROUND(AVERAGEIFS(vRG_1[Root Length per Day (mm/day)],vRG_1[Seed],vRG_2[[#This Row],[Seed]], vRG_1[Fertilizer Added (g)], vRG_2[[#This Row],[Fertilizer Added (g)]]), 2), "")</calculatedColumnFormula>
    </tableColumn>
  </tableColumns>
  <tableStyleInfo name="TableStyleMedium2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E34633-118F-4735-95D1-7E0B127AF0BF}" name="vLS_1" displayName="vLS_1" ref="A10:J66" totalsRowShown="0">
  <autoFilter ref="A10:J66" xr:uid="{784A0AFA-6C17-4E97-A28F-DA062CD9486D}"/>
  <tableColumns count="10">
    <tableColumn id="1" xr3:uid="{6578DAF4-5852-4296-940C-0127920C4920}" name="Seeding Jar" dataDxfId="12">
      <calculatedColumnFormula array="1">_xlfn.LET(
    _xlpm.value, INDEX(Growing[Seeding Jar], ROW()-ROW(Growing[#Headers])),
    IF(_xlpm.value="", "", _xlpm.value)
)</calculatedColumnFormula>
    </tableColumn>
    <tableColumn id="8" xr3:uid="{2536C393-84A3-4F6E-8A58-49D178CF859D}" name="Fertilizer Added (g)" dataDxfId="11">
      <calculatedColumnFormula>IF(vLS_1[[#This Row],[Seeding Jar]]="", "", VALUE(_xlfn.XLOOKUP(SUBSTITUTE(vLS_1[[#This Row],[Seeding Jar]], "*", ""), Jars[Jar], Jars[Fertilizer Added (g)])))</calculatedColumnFormula>
    </tableColumn>
    <tableColumn id="2" xr3:uid="{E75872E1-185D-46F0-8C15-A2EFA23D20A8}" name="Seed" dataDxfId="10">
      <calculatedColumnFormula>TRIM(Growing[[#This Row],[Seed]])</calculatedColumnFormula>
    </tableColumn>
    <tableColumn id="3" xr3:uid="{5CF27226-4794-4477-A872-EA11972FBD57}" name="Date Seeded" dataDxfId="9">
      <calculatedColumnFormula>IF(Growing[[#This Row],[Date Seeded]]="", "", TEXT(Growing[[#This Row],[Date Seeded]], "YYYY-MM-dd"))</calculatedColumnFormula>
    </tableColumn>
    <tableColumn id="4" xr3:uid="{EF2FC6DF-24CA-4267-89C2-5EBCCE8E8C2F}" name="Transplant Date" dataDxfId="8">
      <calculatedColumnFormula>IF(Growing[[#This Row],[Transplant Date]]="", "", TEXT(Growing[[#This Row],[Transplant Date]], "YYYY-MM-dd"))</calculatedColumnFormula>
    </tableColumn>
    <tableColumn id="10" xr3:uid="{E2B8026F-0F31-4EE5-9173-51991423A9F8}" name="Date Terminated" dataDxfId="7">
      <calculatedColumnFormula>IF(Growing[[#This Row],[Date Terminated]]="", "", TEXT(Growing[[#This Row],[Date Terminated]], "YYYY-MM-dd"))</calculatedColumnFormula>
    </tableColumn>
    <tableColumn id="5" xr3:uid="{1ED4959C-8FD1-467B-9F8D-B58806A187BF}" name="Final Root Length (mm)" dataDxfId="6">
      <calculatedColumnFormula>IF(Growing[[#This Row],[Final Root Length (mm)]]="", "", IFERROR(VALUE(Growing[[#This Row],[Final Root Length (mm)]]), ""))</calculatedColumnFormula>
    </tableColumn>
    <tableColumn id="6" xr3:uid="{12C3098C-D096-49C6-92B3-EF13BCBF3D2D}" name="Days Between" dataDxfId="5">
      <calculatedColumnFormula>IFERROR(VALUE(DATEVALUE(vLS_1[[#This Row],[Date Terminated]])-DATEVALUE(vLS_1[[#This Row],[Transplant Date]])), "")</calculatedColumnFormula>
    </tableColumn>
    <tableColumn id="7" xr3:uid="{5B4D0455-D15A-4B27-8947-89B88692F76C}" name="Root Length per Day (mm/day)" dataDxfId="4">
      <calculatedColumnFormula>IFERROR(ROUND(vLS_1[[#This Row],[Final Root Length (mm)]]/vLS_1[[#This Row],[Days Between]], 2), "")</calculatedColumnFormula>
    </tableColumn>
    <tableColumn id="9" xr3:uid="{63D84556-9C0A-4CB0-8182-E29D68C0CCA6}" name="Include" dataDxfId="3">
      <calculatedColumnFormula>IF(AND(ISNUMBER(vLS_1[[#This Row],[Final Root Length (mm)]]),ISNUMBER(vLS_1[[#This Row],[Days Between]]),vLS_1[[#This Row],[Days Between]]&gt;0,ISNUMBER(vLS_1[[#This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59D165D-CCC6-43D3-9555-9A06118079A8}" name="vLS_2" displayName="vLS_2" ref="N10:P36" totalsRowShown="0">
  <autoFilter ref="N10:P36" xr:uid="{943B693C-02E5-4BD1-98FD-9DC59FCFAC81}"/>
  <tableColumns count="3">
    <tableColumn id="1" xr3:uid="{E9A28B57-2C95-4029-A0DB-8C9AC3BBFF70}" name="Seed" dataDxfId="2">
      <calculatedColumnFormula array="1">_xlfn.LET(_xlpm.value, OFFSET(INDIRECT(ADDRESS(ROW(),COLUMN())),0,-2), IF(_xlpm.value="","",_xlpm.value))</calculatedColumnFormula>
    </tableColumn>
    <tableColumn id="2" xr3:uid="{108F46A3-3D42-403F-BC29-4E8300DA7897}" name="Fertilizer Added (g)" dataDxfId="1">
      <calculatedColumnFormula array="1">_xlfn.LET(_xlpm.value, OFFSET(INDIRECT(ADDRESS(ROW(),COLUMN())),0,-2), IF(_xlpm.value="","",_xlpm.value))</calculatedColumnFormula>
    </tableColumn>
    <tableColumn id="4" xr3:uid="{A4DA92F1-1DC1-40CB-AF14-87AEF9D4C377}" name="Average Transplant Root Length (mm) / Day" dataDxfId="0">
      <calculatedColumnFormula>IFERROR(ROUND(AVERAGEIFS(vLS_1[Root Length per Day (mm/day)],vLS_1[Seed],vLS_2[[#This Row],[Seed]], vLS_1[Fertilizer Added (g)], vLS_2[[#This Row],[Fertilizer Added (g)]]), 2), "")</calculatedColumnFormula>
    </tableColumn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ohnnyseeds.com/vegetables/lettuce/salanova-lettuce/salanova-premier-collection-pelleted-lettuce-seed-3073JP.html" TargetMode="External"/><Relationship Id="rId2" Type="http://schemas.openxmlformats.org/officeDocument/2006/relationships/hyperlink" Target="https://www.johnnyseeds.com/vegetables/lettuce/salanova-lettuce/salanova-premier-collection-pelleted-lettuce-seed-3073JP.html" TargetMode="External"/><Relationship Id="rId1" Type="http://schemas.openxmlformats.org/officeDocument/2006/relationships/hyperlink" Target="https://www.johnnyseeds.com/herbs/basil/italian-large-leaf-basil/nufar-organic-pelleted-basil-seed-2178GP.html" TargetMode="External"/><Relationship Id="rId6" Type="http://schemas.openxmlformats.org/officeDocument/2006/relationships/table" Target="../tables/table17.xml"/><Relationship Id="rId5" Type="http://schemas.openxmlformats.org/officeDocument/2006/relationships/hyperlink" Target="https://www.johnnyseeds.com/vegetables/lettuce/salanova-lettuce/salanova-premier-collection-pelleted-lettuce-seed-3073JP.html" TargetMode="External"/><Relationship Id="rId4" Type="http://schemas.openxmlformats.org/officeDocument/2006/relationships/hyperlink" Target="https://www.johnnyseeds.com/vegetables/lettuce/salanova-lettuce/salanova-premier-collection-pelleted-lettuce-seed-3073JP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table" Target="../tables/table2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2668-936D-4B6E-A520-3D518F68B02B}">
  <dimension ref="A10:I15"/>
  <sheetViews>
    <sheetView topLeftCell="A6" workbookViewId="0">
      <selection activeCell="A20" sqref="A20"/>
    </sheetView>
  </sheetViews>
  <sheetFormatPr defaultRowHeight="15"/>
  <cols>
    <col min="1" max="1" width="7.140625" customWidth="1"/>
    <col min="2" max="2" width="17.140625" customWidth="1"/>
    <col min="3" max="3" width="10.140625" customWidth="1"/>
    <col min="4" max="5" width="36.7109375" customWidth="1"/>
    <col min="6" max="6" width="28.42578125" customWidth="1"/>
    <col min="7" max="7" width="20.85546875" customWidth="1"/>
    <col min="8" max="8" width="115.140625" customWidth="1"/>
  </cols>
  <sheetData>
    <row r="10" spans="1: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</row>
    <row r="11" spans="1:9">
      <c r="A11" s="10" t="s">
        <v>6</v>
      </c>
      <c r="B11" s="10" t="s">
        <v>7</v>
      </c>
      <c r="C11" s="10" t="s">
        <v>8</v>
      </c>
      <c r="D11" t="s">
        <v>9</v>
      </c>
      <c r="E11" t="s">
        <v>9</v>
      </c>
      <c r="G11" s="10"/>
      <c r="H11" s="6"/>
      <c r="I11" s="9"/>
    </row>
    <row r="12" spans="1:9">
      <c r="A12" s="10" t="s">
        <v>10</v>
      </c>
      <c r="B12" t="s">
        <v>11</v>
      </c>
      <c r="C12" t="s">
        <v>12</v>
      </c>
      <c r="D12" t="s">
        <v>13</v>
      </c>
      <c r="E12" t="s">
        <v>13</v>
      </c>
      <c r="G12" s="10"/>
      <c r="H12" s="6"/>
      <c r="I12" s="9"/>
    </row>
    <row r="13" spans="1:9">
      <c r="A13" s="10" t="s">
        <v>14</v>
      </c>
      <c r="B13" t="s">
        <v>15</v>
      </c>
      <c r="C13" t="s">
        <v>16</v>
      </c>
      <c r="D13" t="s">
        <v>17</v>
      </c>
      <c r="E13" t="s">
        <v>17</v>
      </c>
      <c r="G13" s="10"/>
      <c r="H13" s="6"/>
      <c r="I13" s="9"/>
    </row>
    <row r="14" spans="1:9">
      <c r="G14" s="10"/>
      <c r="H14" s="6"/>
      <c r="I14" s="9"/>
    </row>
    <row r="15" spans="1:9">
      <c r="D15" s="3"/>
      <c r="E15" s="3"/>
      <c r="F15" s="3"/>
      <c r="G15" s="10"/>
      <c r="H15" s="7"/>
      <c r="I15" s="9"/>
    </row>
  </sheetData>
  <conditionalFormatting sqref="A11:AF999999">
    <cfRule type="expression" dxfId="285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9C92-9F06-4CC0-A917-AEAF31F35DA6}">
  <dimension ref="A1:E13"/>
  <sheetViews>
    <sheetView workbookViewId="0">
      <selection activeCell="C16" sqref="C16"/>
    </sheetView>
  </sheetViews>
  <sheetFormatPr defaultRowHeight="15"/>
  <cols>
    <col min="1" max="1" width="13.85546875" customWidth="1"/>
    <col min="2" max="2" width="14.5703125" customWidth="1"/>
    <col min="3" max="3" width="12.140625" customWidth="1"/>
    <col min="4" max="4" width="11.5703125" customWidth="1"/>
    <col min="5" max="5" width="11.42578125" bestFit="1" customWidth="1"/>
  </cols>
  <sheetData>
    <row r="1" spans="1:5">
      <c r="A1" t="s">
        <v>18</v>
      </c>
    </row>
    <row r="10" spans="1:5">
      <c r="A10" t="s">
        <v>19</v>
      </c>
      <c r="B10" t="s">
        <v>20</v>
      </c>
      <c r="C10" t="s">
        <v>21</v>
      </c>
      <c r="D10" t="s">
        <v>22</v>
      </c>
      <c r="E10" t="s">
        <v>23</v>
      </c>
    </row>
    <row r="11" spans="1:5">
      <c r="A11" t="s">
        <v>24</v>
      </c>
      <c r="C11" s="3" t="s">
        <v>25</v>
      </c>
      <c r="D11" s="3"/>
      <c r="E11">
        <v>3.7854100000000002</v>
      </c>
    </row>
    <row r="12" spans="1:5">
      <c r="A12" t="s">
        <v>26</v>
      </c>
      <c r="C12" t="s">
        <v>27</v>
      </c>
      <c r="E12">
        <v>28.349499999999999</v>
      </c>
    </row>
    <row r="13" spans="1:5">
      <c r="A13" t="s">
        <v>28</v>
      </c>
      <c r="B13" s="3">
        <v>32.06</v>
      </c>
      <c r="C13" t="s">
        <v>29</v>
      </c>
      <c r="D13" s="3">
        <v>96.06</v>
      </c>
      <c r="E13">
        <f>32.06/96.06</f>
        <v>0.33374973974599209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8D83-459A-4B09-B9AB-1ED05D6D6B94}">
  <dimension ref="A1:K15"/>
  <sheetViews>
    <sheetView workbookViewId="0">
      <selection activeCell="B23" sqref="B23"/>
    </sheetView>
  </sheetViews>
  <sheetFormatPr defaultRowHeight="15"/>
  <cols>
    <col min="1" max="1" width="25.85546875" customWidth="1"/>
    <col min="2" max="2" width="39.5703125" customWidth="1"/>
    <col min="3" max="3" width="16" customWidth="1"/>
    <col min="4" max="4" width="12.140625" customWidth="1"/>
    <col min="5" max="5" width="14.42578125" customWidth="1"/>
    <col min="6" max="6" width="19.7109375" customWidth="1"/>
    <col min="7" max="7" width="20" customWidth="1"/>
    <col min="8" max="8" width="24.7109375" customWidth="1"/>
    <col min="9" max="9" width="28.42578125" customWidth="1"/>
    <col min="10" max="10" width="20.85546875" customWidth="1"/>
    <col min="11" max="11" width="115.140625" customWidth="1"/>
  </cols>
  <sheetData>
    <row r="1" spans="1:11">
      <c r="D1" s="3" t="s">
        <v>30</v>
      </c>
      <c r="E1" s="3"/>
    </row>
    <row r="2" spans="1:11">
      <c r="D2" s="3" t="s">
        <v>31</v>
      </c>
      <c r="E2" s="3"/>
    </row>
    <row r="3" spans="1:11">
      <c r="D3" t="s">
        <v>32</v>
      </c>
    </row>
    <row r="10" spans="1:11">
      <c r="A10" t="s">
        <v>33</v>
      </c>
      <c r="B10" t="s">
        <v>3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s">
        <v>39</v>
      </c>
    </row>
    <row r="11" spans="1:11">
      <c r="A11" t="s">
        <v>40</v>
      </c>
      <c r="B11" t="s">
        <v>40</v>
      </c>
      <c r="C11" s="10" t="s">
        <v>41</v>
      </c>
      <c r="D11" s="3" t="s">
        <v>31</v>
      </c>
      <c r="E11" s="8" t="s">
        <v>6</v>
      </c>
      <c r="H11" s="10"/>
      <c r="I11" s="10"/>
      <c r="J11" s="6"/>
      <c r="K11" s="9"/>
    </row>
    <row r="12" spans="1:11">
      <c r="A12" t="s">
        <v>42</v>
      </c>
      <c r="B12" t="s">
        <v>42</v>
      </c>
      <c r="C12" s="10" t="s">
        <v>43</v>
      </c>
      <c r="D12" s="3" t="s">
        <v>31</v>
      </c>
      <c r="E12" s="8" t="s">
        <v>44</v>
      </c>
      <c r="F12" s="10" t="s">
        <v>45</v>
      </c>
      <c r="G12" s="10" t="s">
        <v>46</v>
      </c>
      <c r="H12" s="10" t="s">
        <v>47</v>
      </c>
      <c r="I12" s="10"/>
      <c r="J12" s="6"/>
      <c r="K12" s="9"/>
    </row>
    <row r="13" spans="1:11">
      <c r="A13" t="s">
        <v>48</v>
      </c>
      <c r="B13" t="s">
        <v>49</v>
      </c>
      <c r="C13" s="10" t="s">
        <v>50</v>
      </c>
      <c r="D13" t="s">
        <v>30</v>
      </c>
      <c r="E13" s="10" t="s">
        <v>6</v>
      </c>
      <c r="F13" s="10" t="s">
        <v>51</v>
      </c>
      <c r="G13" s="10" t="s">
        <v>52</v>
      </c>
      <c r="H13" s="10" t="s">
        <v>53</v>
      </c>
      <c r="I13" s="10"/>
      <c r="J13" s="6"/>
      <c r="K13" s="9"/>
    </row>
    <row r="14" spans="1:11">
      <c r="A14" t="s">
        <v>54</v>
      </c>
      <c r="B14" t="s">
        <v>54</v>
      </c>
      <c r="C14" s="10" t="s">
        <v>55</v>
      </c>
      <c r="D14" s="3" t="s">
        <v>31</v>
      </c>
      <c r="E14" s="8" t="s">
        <v>6</v>
      </c>
      <c r="F14" s="10" t="s">
        <v>56</v>
      </c>
      <c r="G14" s="10" t="s">
        <v>57</v>
      </c>
      <c r="H14" s="10" t="s">
        <v>58</v>
      </c>
      <c r="I14" s="10"/>
      <c r="J14" s="6"/>
      <c r="K14" s="9"/>
    </row>
    <row r="15" spans="1:11">
      <c r="A15" s="3" t="s">
        <v>59</v>
      </c>
      <c r="B15" s="3" t="s">
        <v>59</v>
      </c>
      <c r="C15" s="10" t="s">
        <v>60</v>
      </c>
      <c r="D15" s="3" t="s">
        <v>32</v>
      </c>
      <c r="E15" s="8" t="s">
        <v>6</v>
      </c>
      <c r="F15" s="3"/>
      <c r="H15" s="10"/>
      <c r="I15" s="10"/>
      <c r="J15" s="7"/>
      <c r="K15" s="9"/>
    </row>
  </sheetData>
  <conditionalFormatting sqref="A11:AF999999">
    <cfRule type="expression" dxfId="284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8361-F8C2-4758-9B5C-2AA12DDB7054}">
  <dimension ref="A1:V32"/>
  <sheetViews>
    <sheetView topLeftCell="K5" workbookViewId="0">
      <selection activeCell="A11" sqref="A11"/>
    </sheetView>
  </sheetViews>
  <sheetFormatPr defaultRowHeight="15"/>
  <cols>
    <col min="1" max="1" width="15.28515625" customWidth="1"/>
    <col min="2" max="2" width="28.5703125" customWidth="1"/>
    <col min="3" max="3" width="6.85546875" customWidth="1"/>
    <col min="4" max="4" width="6.5703125" customWidth="1"/>
    <col min="5" max="5" width="8.28515625" customWidth="1"/>
    <col min="6" max="6" width="18.7109375" customWidth="1"/>
    <col min="7" max="7" width="17.7109375" customWidth="1"/>
    <col min="8" max="8" width="22.140625" customWidth="1"/>
    <col min="9" max="9" width="10.42578125" customWidth="1"/>
    <col min="10" max="10" width="16.42578125" customWidth="1"/>
    <col min="11" max="11" width="26.5703125" customWidth="1"/>
    <col min="12" max="12" width="14.85546875" customWidth="1"/>
    <col min="13" max="13" width="21.7109375" customWidth="1"/>
    <col min="14" max="14" width="14.7109375" customWidth="1"/>
    <col min="15" max="15" width="18.140625" customWidth="1"/>
    <col min="16" max="16" width="11.5703125" customWidth="1"/>
    <col min="17" max="17" width="12.28515625" customWidth="1"/>
    <col min="18" max="18" width="13.85546875" customWidth="1"/>
    <col min="19" max="19" width="11.85546875" customWidth="1"/>
    <col min="20" max="20" width="17.85546875" customWidth="1"/>
    <col min="21" max="21" width="20" customWidth="1"/>
    <col min="22" max="22" width="12.28515625" customWidth="1"/>
  </cols>
  <sheetData>
    <row r="1" spans="1:22">
      <c r="D1" s="3" t="s">
        <v>30</v>
      </c>
      <c r="E1" s="3"/>
    </row>
    <row r="2" spans="1:22">
      <c r="D2" s="3" t="s">
        <v>31</v>
      </c>
      <c r="E2" s="3"/>
    </row>
    <row r="3" spans="1:22">
      <c r="D3" t="s">
        <v>32</v>
      </c>
    </row>
    <row r="10" spans="1:22">
      <c r="A10" t="s">
        <v>61</v>
      </c>
      <c r="B10" t="s">
        <v>3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 t="s">
        <v>76</v>
      </c>
      <c r="R10" t="s">
        <v>77</v>
      </c>
      <c r="S10" t="s">
        <v>78</v>
      </c>
      <c r="T10" t="s">
        <v>79</v>
      </c>
      <c r="U10" t="s">
        <v>80</v>
      </c>
      <c r="V10" t="s">
        <v>81</v>
      </c>
    </row>
    <row r="11" spans="1:22">
      <c r="A11" s="10" t="s">
        <v>82</v>
      </c>
      <c r="B11" t="s">
        <v>83</v>
      </c>
      <c r="C11" s="10" t="s">
        <v>84</v>
      </c>
      <c r="D11" s="8" t="s">
        <v>85</v>
      </c>
      <c r="E11" s="8" t="s">
        <v>86</v>
      </c>
      <c r="F11">
        <v>100</v>
      </c>
      <c r="G11">
        <v>98.3</v>
      </c>
      <c r="H11">
        <v>1.7</v>
      </c>
      <c r="I11">
        <v>0</v>
      </c>
      <c r="J11">
        <v>14.5</v>
      </c>
      <c r="K11">
        <v>33.200000000000003</v>
      </c>
      <c r="L11">
        <v>110.7</v>
      </c>
      <c r="M11">
        <v>133.4</v>
      </c>
      <c r="N11">
        <v>58.3</v>
      </c>
      <c r="O11">
        <v>16.7</v>
      </c>
      <c r="P11">
        <v>0</v>
      </c>
      <c r="Q11">
        <v>0.17</v>
      </c>
      <c r="R11">
        <v>0.17</v>
      </c>
      <c r="S11">
        <v>1.25</v>
      </c>
      <c r="T11">
        <v>0.42</v>
      </c>
      <c r="U11">
        <v>0.01</v>
      </c>
      <c r="V11">
        <v>0.28999999999999998</v>
      </c>
    </row>
    <row r="12" spans="1:22">
      <c r="C12" s="10"/>
      <c r="D12" s="3"/>
      <c r="E12" s="8"/>
      <c r="F12" s="10"/>
      <c r="G12" s="6"/>
      <c r="H12" s="9"/>
    </row>
    <row r="13" spans="1:22">
      <c r="C13" s="10"/>
      <c r="E13" s="10"/>
      <c r="F13" s="10"/>
      <c r="G13" s="6"/>
      <c r="H13" s="9"/>
    </row>
    <row r="14" spans="1:22">
      <c r="C14" s="10"/>
      <c r="D14" s="3"/>
      <c r="E14" s="8"/>
      <c r="F14" s="10"/>
      <c r="G14" s="6"/>
      <c r="H14" s="9"/>
    </row>
    <row r="15" spans="1:22">
      <c r="A15" s="3"/>
      <c r="B15" s="3"/>
      <c r="C15" s="10"/>
      <c r="D15" s="3"/>
      <c r="E15" s="8"/>
      <c r="F15" s="10"/>
      <c r="G15" s="7"/>
      <c r="H15" s="9"/>
    </row>
    <row r="26" spans="1:3">
      <c r="C26" t="s">
        <v>87</v>
      </c>
    </row>
    <row r="27" spans="1:3">
      <c r="C27" t="s">
        <v>88</v>
      </c>
    </row>
    <row r="31" spans="1:3">
      <c r="A31" t="s">
        <v>89</v>
      </c>
    </row>
    <row r="32" spans="1:3">
      <c r="A32" t="s">
        <v>90</v>
      </c>
    </row>
  </sheetData>
  <conditionalFormatting sqref="A11:V999999">
    <cfRule type="expression" dxfId="282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6510-4139-40C0-97FE-5558892B13D6}">
  <dimension ref="A9:BE18"/>
  <sheetViews>
    <sheetView tabSelected="1" topLeftCell="S1" workbookViewId="0">
      <selection activeCell="AW6" sqref="AW6"/>
    </sheetView>
  </sheetViews>
  <sheetFormatPr defaultRowHeight="15"/>
  <cols>
    <col min="1" max="1" width="18.140625" customWidth="1"/>
    <col min="2" max="2" width="9" customWidth="1"/>
    <col min="3" max="3" width="11.42578125" bestFit="1" customWidth="1"/>
    <col min="4" max="4" width="12.42578125" hidden="1" customWidth="1"/>
    <col min="5" max="5" width="11.42578125" bestFit="1" customWidth="1"/>
    <col min="6" max="6" width="16.28515625" hidden="1" customWidth="1"/>
    <col min="7" max="7" width="11.42578125" customWidth="1"/>
    <col min="8" max="8" width="11.42578125" hidden="1" customWidth="1"/>
    <col min="9" max="9" width="11.42578125" customWidth="1"/>
    <col min="10" max="10" width="11.42578125" hidden="1" customWidth="1"/>
    <col min="11" max="11" width="18.7109375" customWidth="1"/>
    <col min="12" max="12" width="14.42578125" hidden="1" customWidth="1"/>
    <col min="13" max="13" width="14.7109375" customWidth="1"/>
    <col min="14" max="14" width="14.7109375" hidden="1" customWidth="1"/>
    <col min="15" max="15" width="14.7109375" customWidth="1"/>
    <col min="16" max="16" width="14.7109375" hidden="1" customWidth="1"/>
    <col min="17" max="17" width="14.7109375" customWidth="1"/>
    <col min="18" max="18" width="14.7109375" hidden="1" customWidth="1"/>
    <col min="19" max="19" width="14.7109375" customWidth="1"/>
    <col min="20" max="20" width="14.7109375" hidden="1" customWidth="1"/>
    <col min="21" max="21" width="14.7109375" customWidth="1"/>
    <col min="22" max="22" width="14.7109375" hidden="1" customWidth="1"/>
    <col min="23" max="23" width="14.7109375" customWidth="1"/>
    <col min="24" max="24" width="14.7109375" hidden="1" customWidth="1"/>
    <col min="25" max="25" width="14.7109375" customWidth="1"/>
    <col min="26" max="26" width="14.7109375" hidden="1" customWidth="1"/>
    <col min="27" max="27" width="14.7109375" customWidth="1"/>
    <col min="28" max="28" width="14.7109375" hidden="1" customWidth="1"/>
    <col min="29" max="29" width="14.7109375" customWidth="1"/>
    <col min="30" max="30" width="14.7109375" hidden="1" customWidth="1"/>
    <col min="31" max="31" width="14.7109375" customWidth="1"/>
    <col min="32" max="32" width="14.7109375" hidden="1" customWidth="1"/>
    <col min="33" max="33" width="14.7109375" customWidth="1"/>
    <col min="34" max="34" width="14.7109375" hidden="1" customWidth="1"/>
    <col min="35" max="35" width="14.7109375" customWidth="1"/>
    <col min="36" max="36" width="14.7109375" hidden="1" customWidth="1"/>
    <col min="37" max="37" width="88.140625" customWidth="1"/>
    <col min="39" max="39" width="17.5703125" customWidth="1"/>
    <col min="40" max="40" width="18.7109375" customWidth="1"/>
    <col min="41" max="41" width="12.28515625" customWidth="1"/>
    <col min="42" max="42" width="12.5703125" customWidth="1"/>
    <col min="43" max="43" width="12.28515625" customWidth="1"/>
    <col min="44" max="44" width="13" customWidth="1"/>
    <col min="45" max="45" width="14.140625" customWidth="1"/>
    <col min="46" max="47" width="16.85546875" customWidth="1"/>
    <col min="49" max="49" width="13" customWidth="1"/>
    <col min="63" max="63" width="58.7109375" customWidth="1"/>
  </cols>
  <sheetData>
    <row r="9" spans="1:57">
      <c r="K9" t="s">
        <v>91</v>
      </c>
    </row>
    <row r="10" spans="1:57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101</v>
      </c>
      <c r="K10" t="s">
        <v>102</v>
      </c>
      <c r="L10" t="s">
        <v>103</v>
      </c>
      <c r="M10" t="s">
        <v>104</v>
      </c>
      <c r="N10" t="s">
        <v>105</v>
      </c>
      <c r="O10" t="s">
        <v>106</v>
      </c>
      <c r="P10" t="s">
        <v>107</v>
      </c>
      <c r="Q10" t="s">
        <v>108</v>
      </c>
      <c r="R10" t="s">
        <v>109</v>
      </c>
      <c r="S10" t="s">
        <v>110</v>
      </c>
      <c r="T10" t="s">
        <v>111</v>
      </c>
      <c r="U10" t="s">
        <v>28</v>
      </c>
      <c r="V10" t="s">
        <v>112</v>
      </c>
      <c r="W10" t="s">
        <v>113</v>
      </c>
      <c r="X10" t="s">
        <v>114</v>
      </c>
      <c r="Y10" t="s">
        <v>115</v>
      </c>
      <c r="Z10" t="s">
        <v>116</v>
      </c>
      <c r="AA10" t="s">
        <v>117</v>
      </c>
      <c r="AB10" t="s">
        <v>118</v>
      </c>
      <c r="AC10" t="s">
        <v>119</v>
      </c>
      <c r="AD10" t="s">
        <v>120</v>
      </c>
      <c r="AE10" t="s">
        <v>121</v>
      </c>
      <c r="AF10" t="s">
        <v>122</v>
      </c>
      <c r="AG10" t="s">
        <v>123</v>
      </c>
      <c r="AH10" t="s">
        <v>124</v>
      </c>
      <c r="AI10" t="s">
        <v>125</v>
      </c>
      <c r="AJ10" t="s">
        <v>126</v>
      </c>
      <c r="AK10" t="s">
        <v>127</v>
      </c>
      <c r="AN10" t="s">
        <v>92</v>
      </c>
      <c r="AO10" t="s">
        <v>128</v>
      </c>
      <c r="AP10" t="s">
        <v>129</v>
      </c>
      <c r="AQ10" t="s">
        <v>130</v>
      </c>
      <c r="AR10" t="s">
        <v>131</v>
      </c>
      <c r="AS10" t="s">
        <v>132</v>
      </c>
      <c r="AT10" t="s">
        <v>133</v>
      </c>
      <c r="AU10" t="s">
        <v>134</v>
      </c>
      <c r="AV10" t="s">
        <v>135</v>
      </c>
      <c r="AW10" t="s">
        <v>136</v>
      </c>
      <c r="AX10" t="s">
        <v>137</v>
      </c>
      <c r="AY10" t="s">
        <v>138</v>
      </c>
      <c r="AZ10" t="s">
        <v>139</v>
      </c>
      <c r="BA10" t="s">
        <v>140</v>
      </c>
      <c r="BB10" t="s">
        <v>141</v>
      </c>
      <c r="BC10" t="s">
        <v>142</v>
      </c>
      <c r="BD10" t="s">
        <v>143</v>
      </c>
      <c r="BE10" t="s">
        <v>144</v>
      </c>
    </row>
    <row r="11" spans="1:57">
      <c r="A11" t="s">
        <v>145</v>
      </c>
      <c r="B11" s="10" t="s">
        <v>6</v>
      </c>
      <c r="D11" t="str">
        <f>IF(Nutrients_1[[#This Row],[EC (min)]]="", "", IFERROR(VALUE(Nutrients_1[[#This Row],[EC (min)]]), ""))</f>
        <v/>
      </c>
      <c r="F11" t="str">
        <f>IF(Nutrients_1[[#This Row],[EC (max)]]="", "", IFERROR(VALUE(Nutrients_1[[#This Row],[EC (max)]]), ""))</f>
        <v/>
      </c>
      <c r="H11" t="str" cm="1">
        <f t="array" ref="H11">_xlfn.LET(_xlpm.data, _xlfn.SINGLE(Nutrients_1[pH (min)]), IF(_xlpm.data="", "", IFERROR(VALUE(_xlpm.data), "")))</f>
        <v/>
      </c>
      <c r="J11" t="str" cm="1">
        <f t="array" ref="J11">_xlfn.LET(_xlpm.data, _xlfn.SINGLE(Nutrients_1[pH (max)]), IF(_xlpm.data="", "", IFERROR(VALUE(_xlpm.data), "")))</f>
        <v/>
      </c>
      <c r="K11" t="s">
        <v>146</v>
      </c>
      <c r="L11" cm="1">
        <f t="array" ref="L11">_xlfn.LET(_xlpm.data, _xlfn.SINGLE(Nutrients_1[Nitrogen]), IF(_xlpm.data="", "", IFERROR(VALUE(_xlpm.data), "")))</f>
        <v>150</v>
      </c>
      <c r="M11" t="s">
        <v>147</v>
      </c>
      <c r="N11">
        <f>IF(Nutrients_1[[#This Row],[Phosphorus]]="", "", IFERROR(VALUE(Nutrients_1[[#This Row],[Phosphorus]]), ""))</f>
        <v>31</v>
      </c>
      <c r="O11" t="s">
        <v>148</v>
      </c>
      <c r="P11">
        <f>IF(Nutrients_1[[#This Row],[Potassium]]="", "", IFERROR(VALUE(Nutrients_1[[#This Row],[Potassium]]), ""))</f>
        <v>210</v>
      </c>
      <c r="Q11" t="s">
        <v>149</v>
      </c>
      <c r="R11">
        <f>IF(Nutrients_1[[#This Row],[Calcium]]="", "", IFERROR(VALUE(Nutrients_1[[#This Row],[Calcium]]), ""))</f>
        <v>90</v>
      </c>
      <c r="S11" t="s">
        <v>150</v>
      </c>
      <c r="T11" cm="1">
        <f t="array" ref="T11">_xlfn.LET(_xlpm.data, Nutrients_1[[#This Row],[Magnesium]], IF(_xlpm.data="", "", IFERROR(VALUE(_xlpm.data), "")))</f>
        <v>24</v>
      </c>
      <c r="V11" t="str" cm="1">
        <f t="array" ref="V11">_xlfn.LET(_xlpm.data, Nutrients_1[[#This Row],[Sulfur]], IF(_xlpm.data="", "", IFERROR(VALUE(_xlpm.data), "")))</f>
        <v/>
      </c>
      <c r="W11" t="s">
        <v>151</v>
      </c>
      <c r="X11" cm="1">
        <f t="array" ref="X11">_xlfn.LET(_xlpm.data, Nutrients_1[[#This Row],[Iron]], IF(_xlpm.data="", "", IFERROR(VALUE(_xlpm.data), "")))</f>
        <v>1</v>
      </c>
      <c r="Y11" t="s">
        <v>152</v>
      </c>
      <c r="Z11" cm="1">
        <f t="array" ref="Z11">_xlfn.LET(_xlpm.data, Nutrients_1[[#This Row],[Manganese]], IF(_xlpm.data="", "", IFERROR(VALUE(_xlpm.data), "")))</f>
        <v>0.25</v>
      </c>
      <c r="AA11" t="s">
        <v>153</v>
      </c>
      <c r="AB11" cm="1">
        <f t="array" ref="AB11">_xlfn.LET(_xlpm.data, Nutrients_1[[#This Row],[Zinc]], IF(_xlpm.data="", "", IFERROR(VALUE(_xlpm.data), "")))</f>
        <v>0.13</v>
      </c>
      <c r="AC11" t="s">
        <v>154</v>
      </c>
      <c r="AD11" cm="1">
        <f t="array" ref="AD11">_xlfn.LET(_xlpm.data, Nutrients_1[[#This Row],[Boron]], IF(_xlpm.data="", "", IFERROR(VALUE(_xlpm.data), "")))</f>
        <v>0.16</v>
      </c>
      <c r="AE11" t="s">
        <v>155</v>
      </c>
      <c r="AF11" cm="1">
        <f t="array" ref="AF11">_xlfn.LET(_xlpm.data, Nutrients_1[[#This Row],[Copper]], IF(_xlpm.data="", "", IFERROR(VALUE(_xlpm.data), "")))</f>
        <v>2.3E-2</v>
      </c>
      <c r="AG11" t="s">
        <v>156</v>
      </c>
      <c r="AH11" cm="1">
        <f t="array" ref="AH11">_xlfn.LET(_xlpm.data, Nutrients_1[[#This Row],[Molybdenum]], IF(_xlpm.data="", "", IFERROR(VALUE(_xlpm.data), "")))</f>
        <v>2.4E-2</v>
      </c>
      <c r="AJ11" t="str" cm="1">
        <f t="array" ref="AJ11">_xlfn.LET(_xlpm.data, Nutrients_1[[#This Row],[Cl]], IF(_xlpm.data="", "", IFERROR(VALUE(_xlpm.data), "")))</f>
        <v/>
      </c>
      <c r="AK11" t="s">
        <v>157</v>
      </c>
      <c r="AM11" t="str" cm="1">
        <f t="array" ref="AM11:AM12">_xlfn.UNIQUE(_xlfn._xlws.FILTER(Nutrients_1[For], Nutrients_1[For]&lt;&gt;""))</f>
        <v>Ocimum basilicum</v>
      </c>
      <c r="AN11" t="str" cm="1">
        <f t="array" aca="1" ref="AN11" ca="1">_xlfn.LET(_xlpm.value, OFFSET(INDIRECT(ADDRESS(ROW(), COLUMN())), 0, -1), IF(_xlpm.value="", " ", _xlpm.value))</f>
        <v>Ocimum basilicum</v>
      </c>
      <c r="AO11">
        <f ca="1">IFERROR(AVERAGEIFS(Nutrients_1[V:pH (min)], Nutrients_1[For], Nutrients_2[[#This Row],[For]], Nutrients_1[Active], "1"), " ")</f>
        <v>5.8</v>
      </c>
      <c r="AP11">
        <f ca="1">IFERROR(AVERAGEIFS(Nutrients_1[V:pH (max)], Nutrients_1[For], Nutrients_2[[#This Row],[For]], Nutrients_1[Active], "1"), " ")</f>
        <v>6.2</v>
      </c>
      <c r="AQ11">
        <f ca="1">IFERROR(AVERAGEIFS(Nutrients_1[V:EC (min)], Nutrients_1[For], Nutrients_2[[#This Row],[For]], Nutrients_1[Active], "1"), " ")</f>
        <v>0.5</v>
      </c>
      <c r="AR11">
        <f ca="1">IFERROR(AVERAGEIFS(Nutrients_1[V:EC (max)], Nutrients_1[For], Nutrients_2[[#This Row],[For]], Nutrients_1[Active], "1"), " ")</f>
        <v>1.5</v>
      </c>
      <c r="AS11">
        <f ca="1">IFERROR(AVERAGEIFS(Nutrients_1[V:Nitrogen], Nutrients_1[For], Nutrients_2[[#This Row],[For]], Nutrients_1[Active], "1"), " ")</f>
        <v>170</v>
      </c>
      <c r="AT11">
        <f ca="1">IFERROR(AVERAGEIFS(Nutrients_1[V:Phosphorus], Nutrients_1[For], Nutrients_2[[#This Row],[For]], Nutrients_1[Active], "1"), " ")</f>
        <v>41.56666666666667</v>
      </c>
      <c r="AU11">
        <f ca="1">IFERROR(AVERAGEIFS(Nutrients_1[V:Potassium], Nutrients_1[For], Nutrients_2[[#This Row],[For]], Nutrients_1[Active], "1"), " ")</f>
        <v>248.93333333333331</v>
      </c>
      <c r="AV11">
        <f ca="1">IFERROR(AVERAGEIFS(Nutrients_1[V:Calcium], Nutrients_1[For], Nutrients_2[[#This Row],[For]], Nutrients_1[Active], "1"), " ")</f>
        <v>127.39999999999999</v>
      </c>
      <c r="AW11">
        <f ca="1">IFERROR(AVERAGEIFS(Nutrients_1[V:Magnesium], Nutrients_1[For], Nutrients_2[[#This Row],[For]], Nutrients_1[Active], "1"), " ")</f>
        <v>40.733333333333334</v>
      </c>
      <c r="AX11">
        <f ca="1">IFERROR(AVERAGEIFS(Nutrients_1[V:Sulfur], Nutrients_1[For], Nutrients_2[[#This Row],[For]], Nutrients_1[Active], "1"), " ")</f>
        <v>58.6</v>
      </c>
      <c r="AY11">
        <f ca="1">IFERROR(AVERAGEIFS(Nutrients_1[V:Iron], Nutrients_1[For], Nutrients_2[[#This Row],[For]], Nutrients_1[Active], "1"), " ")</f>
        <v>2.5</v>
      </c>
      <c r="AZ11">
        <f ca="1">IFERROR(AVERAGEIFS(Nutrients_1[V:Manganese], Nutrients_1[For], Nutrients_2[[#This Row],[For]], Nutrients_1[Active], "1"), " ")</f>
        <v>0.41666666666666669</v>
      </c>
      <c r="BA11">
        <f ca="1">IFERROR(AVERAGEIFS(Nutrients_1[V:Zinc], Nutrients_1[For], Nutrients_2[[#This Row],[For]], Nutrients_1[Active], "1"), " ")</f>
        <v>0.17666666666666667</v>
      </c>
      <c r="BB11">
        <f ca="1">IFERROR(AVERAGEIFS(Nutrients_1[V:Boron], Nutrients_1[For], Nutrients_2[[#This Row],[For]], Nutrients_1[Active], "1"), " ")</f>
        <v>0.35333333333333333</v>
      </c>
      <c r="BC11">
        <f ca="1">IFERROR(AVERAGEIFS(Nutrients_1[V:Copper], Nutrients_1[For], Nutrients_2[[#This Row],[For]], Nutrients_1[Active], "1"), " ")</f>
        <v>0.10766666666666667</v>
      </c>
      <c r="BD11">
        <f ca="1">IFERROR(AVERAGEIFS(Nutrients_1[V:Molybdenum], Nutrients_1[For], Nutrients_2[[#This Row],[For]], Nutrients_1[Active], "1"), " ")</f>
        <v>3.1333333333333331E-2</v>
      </c>
      <c r="BE11">
        <f ca="1">IFERROR(AVERAGEIFS(Nutrients_1[V:Cl], Nutrients_1[For], Nutrients_2[[#This Row],[For]], Nutrients_1[Active], "1"), " ")</f>
        <v>2.7</v>
      </c>
    </row>
    <row r="12" spans="1:57">
      <c r="A12" t="s">
        <v>145</v>
      </c>
      <c r="B12" s="10" t="s">
        <v>6</v>
      </c>
      <c r="D12" t="str">
        <f>IF(Nutrients_1[[#This Row],[EC (min)]]="", "", IFERROR(VALUE(Nutrients_1[[#This Row],[EC (min)]]), ""))</f>
        <v/>
      </c>
      <c r="F12" t="str">
        <f>IF(Nutrients_1[[#This Row],[EC (max)]]="", "", IFERROR(VALUE(Nutrients_1[[#This Row],[EC (max)]]), ""))</f>
        <v/>
      </c>
      <c r="H12" t="str" cm="1">
        <f t="array" ref="H12">_xlfn.LET(_xlpm.data, _xlfn.SINGLE(Nutrients_1[pH (min)]), IF(_xlpm.data="", "", IFERROR(VALUE(_xlpm.data), "")))</f>
        <v/>
      </c>
      <c r="J12" t="str" cm="1">
        <f t="array" ref="J12">_xlfn.LET(_xlpm.data, _xlfn.SINGLE(Nutrients_1[pH (max)]), IF(_xlpm.data="", "", IFERROR(VALUE(_xlpm.data), "")))</f>
        <v/>
      </c>
      <c r="K12" t="s">
        <v>148</v>
      </c>
      <c r="L12" cm="1">
        <f t="array" ref="L12">_xlfn.LET(_xlpm.data, _xlfn.SINGLE(Nutrients_1[Nitrogen]), IF(_xlpm.data="", "", IFERROR(VALUE(_xlpm.data), "")))</f>
        <v>210</v>
      </c>
      <c r="M12" t="s">
        <v>147</v>
      </c>
      <c r="N12">
        <f>IF(Nutrients_1[[#This Row],[Phosphorus]]="", "", IFERROR(VALUE(Nutrients_1[[#This Row],[Phosphorus]]), ""))</f>
        <v>31</v>
      </c>
      <c r="O12" t="s">
        <v>158</v>
      </c>
      <c r="P12">
        <f>IF(Nutrients_1[[#This Row],[Potassium]]="", "", IFERROR(VALUE(Nutrients_1[[#This Row],[Potassium]]), ""))</f>
        <v>235</v>
      </c>
      <c r="Q12" t="s">
        <v>159</v>
      </c>
      <c r="R12">
        <f>IF(Nutrients_1[[#This Row],[Calcium]]="", "", IFERROR(VALUE(Nutrients_1[[#This Row],[Calcium]]), ""))</f>
        <v>200</v>
      </c>
      <c r="S12" t="s">
        <v>160</v>
      </c>
      <c r="T12" cm="1">
        <f t="array" ref="T12">_xlfn.LET(_xlpm.data, Nutrients_1[[#This Row],[Magnesium]], IF(_xlpm.data="", "", IFERROR(VALUE(_xlpm.data), "")))</f>
        <v>49</v>
      </c>
      <c r="U12" t="s">
        <v>161</v>
      </c>
      <c r="V12" cm="1">
        <f t="array" ref="V12">_xlfn.LET(_xlpm.data, Nutrients_1[[#This Row],[Sulfur]], IF(_xlpm.data="", "", IFERROR(VALUE(_xlpm.data), "")))</f>
        <v>64</v>
      </c>
      <c r="W12" t="s">
        <v>85</v>
      </c>
      <c r="X12" cm="1">
        <f t="array" ref="X12">_xlfn.LET(_xlpm.data, Nutrients_1[[#This Row],[Iron]], IF(_xlpm.data="", "", IFERROR(VALUE(_xlpm.data), "")))</f>
        <v>4</v>
      </c>
      <c r="Y12" t="s">
        <v>162</v>
      </c>
      <c r="Z12" cm="1">
        <f t="array" ref="Z12">_xlfn.LET(_xlpm.data, Nutrients_1[[#This Row],[Manganese]], IF(_xlpm.data="", "", IFERROR(VALUE(_xlpm.data), "")))</f>
        <v>0.5</v>
      </c>
      <c r="AA12" t="s">
        <v>163</v>
      </c>
      <c r="AB12" cm="1">
        <f t="array" ref="AB12">_xlfn.LET(_xlpm.data, Nutrients_1[[#This Row],[Zinc]], IF(_xlpm.data="", "", IFERROR(VALUE(_xlpm.data), "")))</f>
        <v>0.1</v>
      </c>
      <c r="AC12" t="s">
        <v>162</v>
      </c>
      <c r="AD12" cm="1">
        <f t="array" ref="AD12">_xlfn.LET(_xlpm.data, Nutrients_1[[#This Row],[Boron]], IF(_xlpm.data="", "", IFERROR(VALUE(_xlpm.data), "")))</f>
        <v>0.5</v>
      </c>
      <c r="AE12" t="s">
        <v>164</v>
      </c>
      <c r="AF12" cm="1">
        <f t="array" ref="AF12">_xlfn.LET(_xlpm.data, Nutrients_1[[#This Row],[Copper]], IF(_xlpm.data="", "", IFERROR(VALUE(_xlpm.data), "")))</f>
        <v>0.1</v>
      </c>
      <c r="AG12" t="s">
        <v>165</v>
      </c>
      <c r="AH12" cm="1">
        <f t="array" ref="AH12">_xlfn.LET(_xlpm.data, Nutrients_1[[#This Row],[Molybdenum]], IF(_xlpm.data="", "", IFERROR(VALUE(_xlpm.data), "")))</f>
        <v>0.01</v>
      </c>
      <c r="AJ12" t="str" cm="1">
        <f t="array" ref="AJ12">_xlfn.LET(_xlpm.data, Nutrients_1[[#This Row],[Cl]], IF(_xlpm.data="", "", IFERROR(VALUE(_xlpm.data), "")))</f>
        <v/>
      </c>
      <c r="AK12" t="s">
        <v>166</v>
      </c>
      <c r="AM12" t="str">
        <v>Lactuca sativa</v>
      </c>
      <c r="AN12" t="str" cm="1">
        <f t="array" aca="1" ref="AN12" ca="1">_xlfn.LET(_xlpm.value, OFFSET(INDIRECT(ADDRESS(ROW(), COLUMN())), 0, -1), IF(_xlpm.value="", " ", _xlpm.value))</f>
        <v>Lactuca sativa</v>
      </c>
      <c r="AO12">
        <f ca="1">IFERROR(AVERAGEIFS(Nutrients_1[V:pH (min)], Nutrients_1[For], Nutrients_2[[#This Row],[For]], Nutrients_1[Active], "1"), " ")</f>
        <v>5.5</v>
      </c>
      <c r="AP12">
        <f ca="1">IFERROR(AVERAGEIFS(Nutrients_1[V:pH (max)], Nutrients_1[For], Nutrients_2[[#This Row],[For]], Nutrients_1[Active], "1"), " ")</f>
        <v>6</v>
      </c>
      <c r="AQ12" t="str">
        <f ca="1">IFERROR(AVERAGEIFS(Nutrients_1[V:EC (min)], Nutrients_1[For], Nutrients_2[[#This Row],[For]], Nutrients_1[Active], "1"), " ")</f>
        <v xml:space="preserve"> </v>
      </c>
      <c r="AR12" t="str">
        <f ca="1">IFERROR(AVERAGEIFS(Nutrients_1[V:EC (max)], Nutrients_1[For], Nutrients_2[[#This Row],[For]], Nutrients_1[Active], "1"), " ")</f>
        <v xml:space="preserve"> </v>
      </c>
      <c r="AS12">
        <f ca="1">IFERROR(AVERAGEIFS(Nutrients_1[V:Nitrogen], Nutrients_1[For], Nutrients_2[[#This Row],[For]], Nutrients_1[Active], "1"), " ")</f>
        <v>150</v>
      </c>
      <c r="AT12">
        <f ca="1">IFERROR(AVERAGEIFS(Nutrients_1[V:Phosphorus], Nutrients_1[For], Nutrients_2[[#This Row],[For]], Nutrients_1[Active], "1"), " ")</f>
        <v>31</v>
      </c>
      <c r="AU12">
        <f ca="1">IFERROR(AVERAGEIFS(Nutrients_1[V:Potassium], Nutrients_1[For], Nutrients_2[[#This Row],[For]], Nutrients_1[Active], "1"), " ")</f>
        <v>210</v>
      </c>
      <c r="AV12">
        <f ca="1">IFERROR(AVERAGEIFS(Nutrients_1[V:Calcium], Nutrients_1[For], Nutrients_2[[#This Row],[For]], Nutrients_1[Active], "1"), " ")</f>
        <v>90</v>
      </c>
      <c r="AW12">
        <f ca="1">IFERROR(AVERAGEIFS(Nutrients_1[V:Magnesium], Nutrients_1[For], Nutrients_2[[#This Row],[For]], Nutrients_1[Active], "1"), " ")</f>
        <v>24</v>
      </c>
      <c r="AX12">
        <f ca="1">IFERROR(AVERAGEIFS(Nutrients_1[V:Sulfur], Nutrients_1[For], Nutrients_2[[#This Row],[For]], Nutrients_1[Active], "1"), " ")</f>
        <v>0</v>
      </c>
      <c r="AY12">
        <f ca="1">IFERROR(AVERAGEIFS(Nutrients_1[V:Iron], Nutrients_1[For], Nutrients_2[[#This Row],[For]], Nutrients_1[Active], "1"), " ")</f>
        <v>1</v>
      </c>
      <c r="AZ12">
        <f ca="1">IFERROR(AVERAGEIFS(Nutrients_1[V:Manganese], Nutrients_1[For], Nutrients_2[[#This Row],[For]], Nutrients_1[Active], "1"), " ")</f>
        <v>0.25</v>
      </c>
      <c r="BA12">
        <f ca="1">IFERROR(AVERAGEIFS(Nutrients_1[V:Zinc], Nutrients_1[For], Nutrients_2[[#This Row],[For]], Nutrients_1[Active], "1"), " ")</f>
        <v>0.13</v>
      </c>
      <c r="BB12">
        <f ca="1">IFERROR(AVERAGEIFS(Nutrients_1[V:Boron], Nutrients_1[For], Nutrients_2[[#This Row],[For]], Nutrients_1[Active], "1"), " ")</f>
        <v>0.16</v>
      </c>
      <c r="BC12">
        <f ca="1">IFERROR(AVERAGEIFS(Nutrients_1[V:Copper], Nutrients_1[For], Nutrients_2[[#This Row],[For]], Nutrients_1[Active], "1"), " ")</f>
        <v>0.02</v>
      </c>
      <c r="BD12">
        <f ca="1">IFERROR(AVERAGEIFS(Nutrients_1[V:Molybdenum], Nutrients_1[For], Nutrients_2[[#This Row],[For]], Nutrients_1[Active], "1"), " ")</f>
        <v>0.02</v>
      </c>
      <c r="BE12" t="str">
        <f ca="1">IFERROR(AVERAGEIFS(Nutrients_1[V:Cl], Nutrients_1[For], Nutrients_2[[#This Row],[For]], Nutrients_1[Active], "1"), " ")</f>
        <v xml:space="preserve"> </v>
      </c>
    </row>
    <row r="13" spans="1:57">
      <c r="A13" t="s">
        <v>145</v>
      </c>
      <c r="B13" s="10" t="s">
        <v>6</v>
      </c>
      <c r="C13" t="s">
        <v>162</v>
      </c>
      <c r="D13">
        <f>IF(Nutrients_1[[#This Row],[EC (min)]]="", "", IFERROR(VALUE(Nutrients_1[[#This Row],[EC (min)]]), ""))</f>
        <v>0.5</v>
      </c>
      <c r="E13" t="s">
        <v>167</v>
      </c>
      <c r="F13">
        <f>IF(Nutrients_1[[#This Row],[EC (max)]]="", "", IFERROR(VALUE(Nutrients_1[[#This Row],[EC (max)]]), ""))</f>
        <v>1.5</v>
      </c>
      <c r="G13" t="s">
        <v>168</v>
      </c>
      <c r="H13" cm="1">
        <f t="array" ref="H13">_xlfn.LET(_xlpm.data, _xlfn.SINGLE(Nutrients_1[pH (min)]), IF(_xlpm.data="", "", IFERROR(VALUE(_xlpm.data), "")))</f>
        <v>5.8</v>
      </c>
      <c r="I13" t="s">
        <v>169</v>
      </c>
      <c r="J13" cm="1">
        <f t="array" ref="J13">_xlfn.LET(_xlpm.data, _xlfn.SINGLE(Nutrients_1[pH (max)]), IF(_xlpm.data="", "", IFERROR(VALUE(_xlpm.data), "")))</f>
        <v>6.2</v>
      </c>
      <c r="K13" t="s">
        <v>146</v>
      </c>
      <c r="L13" cm="1">
        <f t="array" ref="L13">_xlfn.LET(_xlpm.data, _xlfn.SINGLE(Nutrients_1[Nitrogen]), IF(_xlpm.data="", "", IFERROR(VALUE(_xlpm.data), "")))</f>
        <v>150</v>
      </c>
      <c r="M13" t="s">
        <v>170</v>
      </c>
      <c r="N13">
        <f>IF(Nutrients_1[[#This Row],[Phosphorus]]="", "", IFERROR(VALUE(Nutrients_1[[#This Row],[Phosphorus]]), ""))</f>
        <v>62.7</v>
      </c>
      <c r="O13" t="s">
        <v>171</v>
      </c>
      <c r="P13">
        <f>IF(Nutrients_1[[#This Row],[Potassium]]="", "", IFERROR(VALUE(Nutrients_1[[#This Row],[Potassium]]), ""))</f>
        <v>301.8</v>
      </c>
      <c r="Q13" t="s">
        <v>172</v>
      </c>
      <c r="R13">
        <f>IF(Nutrients_1[[#This Row],[Calcium]]="", "", IFERROR(VALUE(Nutrients_1[[#This Row],[Calcium]]), ""))</f>
        <v>92.2</v>
      </c>
      <c r="S13" t="s">
        <v>173</v>
      </c>
      <c r="T13" cm="1">
        <f t="array" ref="T13">_xlfn.LET(_xlpm.data, Nutrients_1[[#This Row],[Magnesium]], IF(_xlpm.data="", "", IFERROR(VALUE(_xlpm.data), "")))</f>
        <v>49.2</v>
      </c>
      <c r="U13" t="s">
        <v>174</v>
      </c>
      <c r="V13" cm="1">
        <f t="array" ref="V13">_xlfn.LET(_xlpm.data, Nutrients_1[[#This Row],[Sulfur]], IF(_xlpm.data="", "", IFERROR(VALUE(_xlpm.data), "")))</f>
        <v>53.2</v>
      </c>
      <c r="W13" t="s">
        <v>175</v>
      </c>
      <c r="X13" cm="1">
        <f t="array" ref="X13">_xlfn.LET(_xlpm.data, Nutrients_1[[#This Row],[Iron]], IF(_xlpm.data="", "", IFERROR(VALUE(_xlpm.data), "")))</f>
        <v>2.5</v>
      </c>
      <c r="Y13" t="s">
        <v>162</v>
      </c>
      <c r="Z13" cm="1">
        <f t="array" ref="Z13">_xlfn.LET(_xlpm.data, Nutrients_1[[#This Row],[Manganese]], IF(_xlpm.data="", "", IFERROR(VALUE(_xlpm.data), "")))</f>
        <v>0.5</v>
      </c>
      <c r="AA13" t="s">
        <v>176</v>
      </c>
      <c r="AB13" cm="1">
        <f t="array" ref="AB13">_xlfn.LET(_xlpm.data, Nutrients_1[[#This Row],[Zinc]], IF(_xlpm.data="", "", IFERROR(VALUE(_xlpm.data), "")))</f>
        <v>0.3</v>
      </c>
      <c r="AC13" t="s">
        <v>177</v>
      </c>
      <c r="AD13" cm="1">
        <f t="array" ref="AD13">_xlfn.LET(_xlpm.data, Nutrients_1[[#This Row],[Boron]], IF(_xlpm.data="", "", IFERROR(VALUE(_xlpm.data), "")))</f>
        <v>0.4</v>
      </c>
      <c r="AE13" t="s">
        <v>178</v>
      </c>
      <c r="AF13" cm="1">
        <f t="array" ref="AF13">_xlfn.LET(_xlpm.data, Nutrients_1[[#This Row],[Copper]], IF(_xlpm.data="", "", IFERROR(VALUE(_xlpm.data), "")))</f>
        <v>0.2</v>
      </c>
      <c r="AG13" t="s">
        <v>179</v>
      </c>
      <c r="AH13" cm="1">
        <f t="array" ref="AH13">_xlfn.LET(_xlpm.data, Nutrients_1[[#This Row],[Molybdenum]], IF(_xlpm.data="", "", IFERROR(VALUE(_xlpm.data), "")))</f>
        <v>0.06</v>
      </c>
      <c r="AI13" t="s">
        <v>180</v>
      </c>
      <c r="AJ13" cm="1">
        <f t="array" ref="AJ13">_xlfn.LET(_xlpm.data, Nutrients_1[[#This Row],[Cl]], IF(_xlpm.data="", "", IFERROR(VALUE(_xlpm.data), "")))</f>
        <v>2.7</v>
      </c>
      <c r="AK13" t="s">
        <v>181</v>
      </c>
      <c r="AL13" t="s">
        <v>182</v>
      </c>
      <c r="AN13" t="str" cm="1">
        <f t="array" aca="1" ref="AN13" ca="1">_xlfn.LET(_xlpm.value, OFFSET(INDIRECT(ADDRESS(ROW(), COLUMN())), 0, -1), IF(_xlpm.value="", " ", _xlpm.value))</f>
        <v xml:space="preserve"> </v>
      </c>
      <c r="AO13" t="str">
        <f ca="1">IFERROR(AVERAGEIFS(Nutrients_1[V:pH (min)], Nutrients_1[For], Nutrients_2[[#This Row],[For]], Nutrients_1[Active], "1"), " ")</f>
        <v xml:space="preserve"> </v>
      </c>
      <c r="AP13" t="str">
        <f ca="1">IFERROR(AVERAGEIFS(Nutrients_1[V:pH (max)], Nutrients_1[For], Nutrients_2[[#This Row],[For]], Nutrients_1[Active], "1"), " ")</f>
        <v xml:space="preserve"> </v>
      </c>
      <c r="AQ13" t="str">
        <f ca="1">IFERROR(AVERAGEIFS(Nutrients_1[V:EC (min)], Nutrients_1[For], Nutrients_2[[#This Row],[For]], Nutrients_1[Active], "1"), " ")</f>
        <v xml:space="preserve"> </v>
      </c>
      <c r="AR13" t="str">
        <f ca="1">IFERROR(AVERAGEIFS(Nutrients_1[V:EC (max)], Nutrients_1[For], Nutrients_2[[#This Row],[For]], Nutrients_1[Active], "1"), " ")</f>
        <v xml:space="preserve"> </v>
      </c>
      <c r="AS13" t="str">
        <f ca="1">IFERROR(AVERAGEIFS(Nutrients_1[V:Nitrogen], Nutrients_1[For], Nutrients_2[[#This Row],[For]], Nutrients_1[Active], "1"), " ")</f>
        <v xml:space="preserve"> </v>
      </c>
      <c r="AT13" t="str">
        <f ca="1">IFERROR(AVERAGEIFS(Nutrients_1[V:Phosphorus], Nutrients_1[For], Nutrients_2[[#This Row],[For]], Nutrients_1[Active], "1"), " ")</f>
        <v xml:space="preserve"> </v>
      </c>
      <c r="AU13" t="str">
        <f ca="1">IFERROR(AVERAGEIFS(Nutrients_1[V:Potassium], Nutrients_1[For], Nutrients_2[[#This Row],[For]], Nutrients_1[Active], "1"), " ")</f>
        <v xml:space="preserve"> </v>
      </c>
      <c r="AV13" t="str">
        <f ca="1">IFERROR(AVERAGEIFS(Nutrients_1[V:Calcium], Nutrients_1[For], Nutrients_2[[#This Row],[For]], Nutrients_1[Active], "1"), " ")</f>
        <v xml:space="preserve"> </v>
      </c>
      <c r="AW13" t="str">
        <f ca="1">IFERROR(AVERAGEIFS(Nutrients_1[V:Magnesium], Nutrients_1[For], Nutrients_2[[#This Row],[For]], Nutrients_1[Active], "1"), " ")</f>
        <v xml:space="preserve"> </v>
      </c>
      <c r="AX13" t="str">
        <f ca="1">IFERROR(AVERAGEIFS(Nutrients_1[V:Sulfur], Nutrients_1[For], Nutrients_2[[#This Row],[For]], Nutrients_1[Active], "1"), " ")</f>
        <v xml:space="preserve"> </v>
      </c>
      <c r="AY13" t="str">
        <f ca="1">IFERROR(AVERAGEIFS(Nutrients_1[V:Iron], Nutrients_1[For], Nutrients_2[[#This Row],[For]], Nutrients_1[Active], "1"), " ")</f>
        <v xml:space="preserve"> </v>
      </c>
      <c r="AZ13" t="str">
        <f ca="1">IFERROR(AVERAGEIFS(Nutrients_1[V:Manganese], Nutrients_1[For], Nutrients_2[[#This Row],[For]], Nutrients_1[Active], "1"), " ")</f>
        <v xml:space="preserve"> </v>
      </c>
      <c r="BA13" t="str">
        <f ca="1">IFERROR(AVERAGEIFS(Nutrients_1[V:Zinc], Nutrients_1[For], Nutrients_2[[#This Row],[For]], Nutrients_1[Active], "1"), " ")</f>
        <v xml:space="preserve"> </v>
      </c>
      <c r="BB13" t="str">
        <f ca="1">IFERROR(AVERAGEIFS(Nutrients_1[V:Boron], Nutrients_1[For], Nutrients_2[[#This Row],[For]], Nutrients_1[Active], "1"), " ")</f>
        <v xml:space="preserve"> </v>
      </c>
      <c r="BC13" t="str">
        <f ca="1">IFERROR(AVERAGEIFS(Nutrients_1[V:Copper], Nutrients_1[For], Nutrients_2[[#This Row],[For]], Nutrients_1[Active], "1"), " ")</f>
        <v xml:space="preserve"> </v>
      </c>
      <c r="BD13" t="str">
        <f ca="1">IFERROR(AVERAGEIFS(Nutrients_1[V:Molybdenum], Nutrients_1[For], Nutrients_2[[#This Row],[For]], Nutrients_1[Active], "1"), " ")</f>
        <v xml:space="preserve"> </v>
      </c>
      <c r="BE13" t="str">
        <f ca="1">IFERROR(AVERAGEIFS(Nutrients_1[V:Cl], Nutrients_1[For], Nutrients_2[[#This Row],[For]], Nutrients_1[Active], "1"), " ")</f>
        <v xml:space="preserve"> </v>
      </c>
    </row>
    <row r="14" spans="1:57">
      <c r="A14" t="s">
        <v>183</v>
      </c>
      <c r="B14" s="10" t="s">
        <v>6</v>
      </c>
      <c r="D14" t="str">
        <f>IF(Nutrients_1[[#This Row],[EC (min)]]="", "", IFERROR(VALUE(Nutrients_1[[#This Row],[EC (min)]]), ""))</f>
        <v/>
      </c>
      <c r="F14" t="str">
        <f>IF(Nutrients_1[[#This Row],[EC (max)]]="", "", IFERROR(VALUE(Nutrients_1[[#This Row],[EC (max)]]), ""))</f>
        <v/>
      </c>
      <c r="G14" t="s">
        <v>184</v>
      </c>
      <c r="H14" cm="1">
        <f t="array" ref="H14">_xlfn.LET(_xlpm.data, _xlfn.SINGLE(Nutrients_1[pH (min)]), IF(_xlpm.data="", "", IFERROR(VALUE(_xlpm.data), "")))</f>
        <v>5.5</v>
      </c>
      <c r="I14" t="s">
        <v>185</v>
      </c>
      <c r="J14" cm="1">
        <f t="array" ref="J14">_xlfn.LET(_xlpm.data, _xlfn.SINGLE(Nutrients_1[pH (max)]), IF(_xlpm.data="", "", IFERROR(VALUE(_xlpm.data), "")))</f>
        <v>6</v>
      </c>
      <c r="K14" t="s">
        <v>146</v>
      </c>
      <c r="L14" cm="1">
        <f t="array" ref="L14">_xlfn.LET(_xlpm.data, _xlfn.SINGLE(Nutrients_1[Nitrogen]), IF(_xlpm.data="", "", IFERROR(VALUE(_xlpm.data), "")))</f>
        <v>150</v>
      </c>
      <c r="M14" t="s">
        <v>147</v>
      </c>
      <c r="N14">
        <f>IF(Nutrients_1[[#This Row],[Phosphorus]]="", "", IFERROR(VALUE(Nutrients_1[[#This Row],[Phosphorus]]), ""))</f>
        <v>31</v>
      </c>
      <c r="O14" t="s">
        <v>148</v>
      </c>
      <c r="P14">
        <f>IF(Nutrients_1[[#This Row],[Potassium]]="", "", IFERROR(VALUE(Nutrients_1[[#This Row],[Potassium]]), ""))</f>
        <v>210</v>
      </c>
      <c r="Q14" t="s">
        <v>149</v>
      </c>
      <c r="R14">
        <f>IF(Nutrients_1[[#This Row],[Calcium]]="", "", IFERROR(VALUE(Nutrients_1[[#This Row],[Calcium]]), ""))</f>
        <v>90</v>
      </c>
      <c r="S14" t="s">
        <v>150</v>
      </c>
      <c r="T14" cm="1">
        <f t="array" ref="T14">_xlfn.LET(_xlpm.data, Nutrients_1[[#This Row],[Magnesium]], IF(_xlpm.data="", "", IFERROR(VALUE(_xlpm.data), "")))</f>
        <v>24</v>
      </c>
      <c r="U14" t="s">
        <v>44</v>
      </c>
      <c r="V14" cm="1">
        <f t="array" ref="V14">_xlfn.LET(_xlpm.data, Nutrients_1[[#This Row],[Sulfur]], IF(_xlpm.data="", "", IFERROR(VALUE(_xlpm.data), "")))</f>
        <v>0</v>
      </c>
      <c r="W14" t="s">
        <v>6</v>
      </c>
      <c r="X14" cm="1">
        <f t="array" ref="X14">_xlfn.LET(_xlpm.data, Nutrients_1[[#This Row],[Iron]], IF(_xlpm.data="", "", IFERROR(VALUE(_xlpm.data), "")))</f>
        <v>1</v>
      </c>
      <c r="Y14" t="s">
        <v>152</v>
      </c>
      <c r="Z14" cm="1">
        <f t="array" ref="Z14">_xlfn.LET(_xlpm.data, Nutrients_1[[#This Row],[Manganese]], IF(_xlpm.data="", "", IFERROR(VALUE(_xlpm.data), "")))</f>
        <v>0.25</v>
      </c>
      <c r="AA14" t="s">
        <v>153</v>
      </c>
      <c r="AB14" cm="1">
        <f t="array" ref="AB14">_xlfn.LET(_xlpm.data, Nutrients_1[[#This Row],[Zinc]], IF(_xlpm.data="", "", IFERROR(VALUE(_xlpm.data), "")))</f>
        <v>0.13</v>
      </c>
      <c r="AC14" t="s">
        <v>154</v>
      </c>
      <c r="AD14" cm="1">
        <f t="array" ref="AD14">_xlfn.LET(_xlpm.data, Nutrients_1[[#This Row],[Boron]], IF(_xlpm.data="", "", IFERROR(VALUE(_xlpm.data), "")))</f>
        <v>0.16</v>
      </c>
      <c r="AE14" t="s">
        <v>186</v>
      </c>
      <c r="AF14" cm="1">
        <f t="array" ref="AF14">_xlfn.LET(_xlpm.data, Nutrients_1[[#This Row],[Copper]], IF(_xlpm.data="", "", IFERROR(VALUE(_xlpm.data), "")))</f>
        <v>0.02</v>
      </c>
      <c r="AG14" t="s">
        <v>186</v>
      </c>
      <c r="AH14" cm="1">
        <f t="array" ref="AH14">_xlfn.LET(_xlpm.data, Nutrients_1[[#This Row],[Molybdenum]], IF(_xlpm.data="", "", IFERROR(VALUE(_xlpm.data), "")))</f>
        <v>0.02</v>
      </c>
      <c r="AJ14" t="str" cm="1">
        <f t="array" ref="AJ14">_xlfn.LET(_xlpm.data, Nutrients_1[[#This Row],[Cl]], IF(_xlpm.data="", "", IFERROR(VALUE(_xlpm.data), "")))</f>
        <v/>
      </c>
      <c r="AK14" t="s">
        <v>187</v>
      </c>
      <c r="AL14" t="s">
        <v>182</v>
      </c>
      <c r="AN14" t="str" cm="1">
        <f t="array" aca="1" ref="AN14" ca="1">_xlfn.LET(_xlpm.value, OFFSET(INDIRECT(ADDRESS(ROW(), COLUMN())), 0, -1), IF(_xlpm.value="", " ", _xlpm.value))</f>
        <v xml:space="preserve"> </v>
      </c>
      <c r="AO14" t="str">
        <f ca="1">IFERROR(AVERAGEIFS(Nutrients_1[V:pH (min)], Nutrients_1[For], Nutrients_2[[#This Row],[For]], Nutrients_1[Active], "1"), " ")</f>
        <v xml:space="preserve"> </v>
      </c>
      <c r="AP14" t="str">
        <f ca="1">IFERROR(AVERAGEIFS(Nutrients_1[V:pH (max)], Nutrients_1[For], Nutrients_2[[#This Row],[For]], Nutrients_1[Active], "1"), " ")</f>
        <v xml:space="preserve"> </v>
      </c>
      <c r="AQ14" t="str">
        <f ca="1">IFERROR(AVERAGEIFS(Nutrients_1[V:EC (min)], Nutrients_1[For], Nutrients_2[[#This Row],[For]], Nutrients_1[Active], "1"), " ")</f>
        <v xml:space="preserve"> </v>
      </c>
      <c r="AR14" t="str">
        <f ca="1">IFERROR(AVERAGEIFS(Nutrients_1[V:EC (max)], Nutrients_1[For], Nutrients_2[[#This Row],[For]], Nutrients_1[Active], "1"), " ")</f>
        <v xml:space="preserve"> </v>
      </c>
      <c r="AS14" t="str">
        <f ca="1">IFERROR(AVERAGEIFS(Nutrients_1[V:Nitrogen], Nutrients_1[For], Nutrients_2[[#This Row],[For]], Nutrients_1[Active], "1"), " ")</f>
        <v xml:space="preserve"> </v>
      </c>
      <c r="AT14" t="str">
        <f ca="1">IFERROR(AVERAGEIFS(Nutrients_1[V:Phosphorus], Nutrients_1[For], Nutrients_2[[#This Row],[For]], Nutrients_1[Active], "1"), " ")</f>
        <v xml:space="preserve"> </v>
      </c>
      <c r="AU14" t="str">
        <f ca="1">IFERROR(AVERAGEIFS(Nutrients_1[V:Potassium], Nutrients_1[For], Nutrients_2[[#This Row],[For]], Nutrients_1[Active], "1"), " ")</f>
        <v xml:space="preserve"> </v>
      </c>
      <c r="AV14" t="str">
        <f ca="1">IFERROR(AVERAGEIFS(Nutrients_1[V:Calcium], Nutrients_1[For], Nutrients_2[[#This Row],[For]], Nutrients_1[Active], "1"), " ")</f>
        <v xml:space="preserve"> </v>
      </c>
      <c r="AW14" t="str">
        <f ca="1">IFERROR(AVERAGEIFS(Nutrients_1[V:Magnesium], Nutrients_1[For], Nutrients_2[[#This Row],[For]], Nutrients_1[Active], "1"), " ")</f>
        <v xml:space="preserve"> </v>
      </c>
      <c r="AX14" t="str">
        <f ca="1">IFERROR(AVERAGEIFS(Nutrients_1[V:Sulfur], Nutrients_1[For], Nutrients_2[[#This Row],[For]], Nutrients_1[Active], "1"), " ")</f>
        <v xml:space="preserve"> </v>
      </c>
      <c r="AY14" t="str">
        <f ca="1">IFERROR(AVERAGEIFS(Nutrients_1[V:Iron], Nutrients_1[For], Nutrients_2[[#This Row],[For]], Nutrients_1[Active], "1"), " ")</f>
        <v xml:space="preserve"> </v>
      </c>
      <c r="AZ14" t="str">
        <f ca="1">IFERROR(AVERAGEIFS(Nutrients_1[V:Manganese], Nutrients_1[For], Nutrients_2[[#This Row],[For]], Nutrients_1[Active], "1"), " ")</f>
        <v xml:space="preserve"> </v>
      </c>
      <c r="BA14" t="str">
        <f ca="1">IFERROR(AVERAGEIFS(Nutrients_1[V:Zinc], Nutrients_1[For], Nutrients_2[[#This Row],[For]], Nutrients_1[Active], "1"), " ")</f>
        <v xml:space="preserve"> </v>
      </c>
      <c r="BB14" t="str">
        <f ca="1">IFERROR(AVERAGEIFS(Nutrients_1[V:Boron], Nutrients_1[For], Nutrients_2[[#This Row],[For]], Nutrients_1[Active], "1"), " ")</f>
        <v xml:space="preserve"> </v>
      </c>
      <c r="BC14" t="str">
        <f ca="1">IFERROR(AVERAGEIFS(Nutrients_1[V:Copper], Nutrients_1[For], Nutrients_2[[#This Row],[For]], Nutrients_1[Active], "1"), " ")</f>
        <v xml:space="preserve"> </v>
      </c>
      <c r="BD14" t="str">
        <f ca="1">IFERROR(AVERAGEIFS(Nutrients_1[V:Molybdenum], Nutrients_1[For], Nutrients_2[[#This Row],[For]], Nutrients_1[Active], "1"), " ")</f>
        <v xml:space="preserve"> </v>
      </c>
      <c r="BE14" t="str">
        <f ca="1">IFERROR(AVERAGEIFS(Nutrients_1[V:Cl], Nutrients_1[For], Nutrients_2[[#This Row],[For]], Nutrients_1[Active], "1"), " ")</f>
        <v xml:space="preserve"> </v>
      </c>
    </row>
    <row r="15" spans="1:57">
      <c r="D15" t="str">
        <f>IF(Nutrients_1[[#This Row],[EC (min)]]="", "", IFERROR(VALUE(Nutrients_1[[#This Row],[EC (min)]]), ""))</f>
        <v/>
      </c>
      <c r="F15" t="str">
        <f>IF(Nutrients_1[[#This Row],[EC (max)]]="", "", IFERROR(VALUE(Nutrients_1[[#This Row],[EC (max)]]), ""))</f>
        <v/>
      </c>
      <c r="H15" t="str" cm="1">
        <f t="array" ref="H15">_xlfn.LET(_xlpm.data, _xlfn.SINGLE(Nutrients_1[pH (min)]), IF(_xlpm.data="", "", IFERROR(VALUE(_xlpm.data), "")))</f>
        <v/>
      </c>
      <c r="J15" t="str" cm="1">
        <f t="array" ref="J15">_xlfn.LET(_xlpm.data, _xlfn.SINGLE(Nutrients_1[pH (max)]), IF(_xlpm.data="", "", IFERROR(VALUE(_xlpm.data), "")))</f>
        <v/>
      </c>
      <c r="L15" t="str" cm="1">
        <f t="array" ref="L15">_xlfn.LET(_xlpm.data, _xlfn.SINGLE(Nutrients_1[Nitrogen]), IF(_xlpm.data="", "", IFERROR(VALUE(_xlpm.data), "")))</f>
        <v/>
      </c>
      <c r="N15" t="str">
        <f>IF(Nutrients_1[[#This Row],[Phosphorus]]="", "", IFERROR(VALUE(Nutrients_1[[#This Row],[Phosphorus]]), ""))</f>
        <v/>
      </c>
      <c r="P15" t="str">
        <f>IF(Nutrients_1[[#This Row],[Potassium]]="", "", IFERROR(VALUE(Nutrients_1[[#This Row],[Potassium]]), ""))</f>
        <v/>
      </c>
      <c r="R15" t="str">
        <f>IF(Nutrients_1[[#This Row],[Calcium]]="", "", IFERROR(VALUE(Nutrients_1[[#This Row],[Calcium]]), ""))</f>
        <v/>
      </c>
      <c r="T15" t="str" cm="1">
        <f t="array" ref="T15">_xlfn.LET(_xlpm.data, Nutrients_1[[#This Row],[Magnesium]], IF(_xlpm.data="", "", IFERROR(VALUE(_xlpm.data), "")))</f>
        <v/>
      </c>
      <c r="V15" t="str" cm="1">
        <f t="array" ref="V15">_xlfn.LET(_xlpm.data, Nutrients_1[[#This Row],[Sulfur]], IF(_xlpm.data="", "", IFERROR(VALUE(_xlpm.data), "")))</f>
        <v/>
      </c>
      <c r="X15" t="str" cm="1">
        <f t="array" ref="X15">_xlfn.LET(_xlpm.data, Nutrients_1[[#This Row],[Iron]], IF(_xlpm.data="", "", IFERROR(VALUE(_xlpm.data), "")))</f>
        <v/>
      </c>
      <c r="Z15" t="str" cm="1">
        <f t="array" ref="Z15">_xlfn.LET(_xlpm.data, Nutrients_1[[#This Row],[Manganese]], IF(_xlpm.data="", "", IFERROR(VALUE(_xlpm.data), "")))</f>
        <v/>
      </c>
      <c r="AB15" t="str" cm="1">
        <f t="array" ref="AB15">_xlfn.LET(_xlpm.data, Nutrients_1[[#This Row],[Zinc]], IF(_xlpm.data="", "", IFERROR(VALUE(_xlpm.data), "")))</f>
        <v/>
      </c>
      <c r="AD15" t="str" cm="1">
        <f t="array" ref="AD15">_xlfn.LET(_xlpm.data, Nutrients_1[[#This Row],[Boron]], IF(_xlpm.data="", "", IFERROR(VALUE(_xlpm.data), "")))</f>
        <v/>
      </c>
      <c r="AF15" t="str" cm="1">
        <f t="array" ref="AF15">_xlfn.LET(_xlpm.data, Nutrients_1[[#This Row],[Copper]], IF(_xlpm.data="", "", IFERROR(VALUE(_xlpm.data), "")))</f>
        <v/>
      </c>
      <c r="AH15" t="str" cm="1">
        <f t="array" ref="AH15">_xlfn.LET(_xlpm.data, Nutrients_1[[#This Row],[Molybdenum]], IF(_xlpm.data="", "", IFERROR(VALUE(_xlpm.data), "")))</f>
        <v/>
      </c>
      <c r="AJ15" t="str" cm="1">
        <f t="array" ref="AJ15">_xlfn.LET(_xlpm.data, Nutrients_1[[#This Row],[Cl]], IF(_xlpm.data="", "", IFERROR(VALUE(_xlpm.data), "")))</f>
        <v/>
      </c>
      <c r="AN15" t="str" cm="1">
        <f t="array" aca="1" ref="AN15" ca="1">_xlfn.LET(_xlpm.value, OFFSET(INDIRECT(ADDRESS(ROW(), COLUMN())), 0, -1), IF(_xlpm.value="", " ", _xlpm.value))</f>
        <v xml:space="preserve"> </v>
      </c>
      <c r="AO15" t="str">
        <f ca="1">IFERROR(AVERAGEIFS(Nutrients_1[V:pH (min)], Nutrients_1[For], Nutrients_2[[#This Row],[For]], Nutrients_1[Active], "1"), " ")</f>
        <v xml:space="preserve"> </v>
      </c>
      <c r="AP15" t="str">
        <f ca="1">IFERROR(AVERAGEIFS(Nutrients_1[V:pH (max)], Nutrients_1[For], Nutrients_2[[#This Row],[For]], Nutrients_1[Active], "1"), " ")</f>
        <v xml:space="preserve"> </v>
      </c>
      <c r="AQ15" t="str">
        <f ca="1">IFERROR(AVERAGEIFS(Nutrients_1[V:EC (min)], Nutrients_1[For], Nutrients_2[[#This Row],[For]], Nutrients_1[Active], "1"), " ")</f>
        <v xml:space="preserve"> </v>
      </c>
      <c r="AR15" t="str">
        <f ca="1">IFERROR(AVERAGEIFS(Nutrients_1[V:EC (max)], Nutrients_1[For], Nutrients_2[[#This Row],[For]], Nutrients_1[Active], "1"), " ")</f>
        <v xml:space="preserve"> </v>
      </c>
      <c r="AS15" t="str">
        <f ca="1">IFERROR(AVERAGEIFS(Nutrients_1[V:Nitrogen], Nutrients_1[For], Nutrients_2[[#This Row],[For]], Nutrients_1[Active], "1"), " ")</f>
        <v xml:space="preserve"> </v>
      </c>
      <c r="AT15" t="str">
        <f ca="1">IFERROR(AVERAGEIFS(Nutrients_1[V:Phosphorus], Nutrients_1[For], Nutrients_2[[#This Row],[For]], Nutrients_1[Active], "1"), " ")</f>
        <v xml:space="preserve"> </v>
      </c>
      <c r="AU15" t="str">
        <f ca="1">IFERROR(AVERAGEIFS(Nutrients_1[V:Potassium], Nutrients_1[For], Nutrients_2[[#This Row],[For]], Nutrients_1[Active], "1"), " ")</f>
        <v xml:space="preserve"> </v>
      </c>
      <c r="AV15" t="str">
        <f ca="1">IFERROR(AVERAGEIFS(Nutrients_1[V:Calcium], Nutrients_1[For], Nutrients_2[[#This Row],[For]], Nutrients_1[Active], "1"), " ")</f>
        <v xml:space="preserve"> </v>
      </c>
      <c r="AW15" t="str">
        <f ca="1">IFERROR(AVERAGEIFS(Nutrients_1[V:Magnesium], Nutrients_1[For], Nutrients_2[[#This Row],[For]], Nutrients_1[Active], "1"), " ")</f>
        <v xml:space="preserve"> </v>
      </c>
      <c r="AX15" t="str">
        <f ca="1">IFERROR(AVERAGEIFS(Nutrients_1[V:Sulfur], Nutrients_1[For], Nutrients_2[[#This Row],[For]], Nutrients_1[Active], "1"), " ")</f>
        <v xml:space="preserve"> </v>
      </c>
      <c r="AY15" t="str">
        <f ca="1">IFERROR(AVERAGEIFS(Nutrients_1[V:Iron], Nutrients_1[For], Nutrients_2[[#This Row],[For]], Nutrients_1[Active], "1"), " ")</f>
        <v xml:space="preserve"> </v>
      </c>
      <c r="AZ15" t="str">
        <f ca="1">IFERROR(AVERAGEIFS(Nutrients_1[V:Manganese], Nutrients_1[For], Nutrients_2[[#This Row],[For]], Nutrients_1[Active], "1"), " ")</f>
        <v xml:space="preserve"> </v>
      </c>
      <c r="BA15" t="str">
        <f ca="1">IFERROR(AVERAGEIFS(Nutrients_1[V:Zinc], Nutrients_1[For], Nutrients_2[[#This Row],[For]], Nutrients_1[Active], "1"), " ")</f>
        <v xml:space="preserve"> </v>
      </c>
      <c r="BB15" t="str">
        <f ca="1">IFERROR(AVERAGEIFS(Nutrients_1[V:Boron], Nutrients_1[For], Nutrients_2[[#This Row],[For]], Nutrients_1[Active], "1"), " ")</f>
        <v xml:space="preserve"> </v>
      </c>
      <c r="BC15" t="str">
        <f ca="1">IFERROR(AVERAGEIFS(Nutrients_1[V:Copper], Nutrients_1[For], Nutrients_2[[#This Row],[For]], Nutrients_1[Active], "1"), " ")</f>
        <v xml:space="preserve"> </v>
      </c>
      <c r="BD15" t="str">
        <f ca="1">IFERROR(AVERAGEIFS(Nutrients_1[V:Molybdenum], Nutrients_1[For], Nutrients_2[[#This Row],[For]], Nutrients_1[Active], "1"), " ")</f>
        <v xml:space="preserve"> </v>
      </c>
      <c r="BE15" t="str">
        <f ca="1">IFERROR(AVERAGEIFS(Nutrients_1[V:Cl], Nutrients_1[For], Nutrients_2[[#This Row],[For]], Nutrients_1[Active], "1"), " ")</f>
        <v xml:space="preserve"> </v>
      </c>
    </row>
    <row r="16" spans="1:57">
      <c r="D16" t="str">
        <f>IF(Nutrients_1[[#This Row],[EC (min)]]="", "", IFERROR(VALUE(Nutrients_1[[#This Row],[EC (min)]]), ""))</f>
        <v/>
      </c>
      <c r="F16" t="str">
        <f>IF(Nutrients_1[[#This Row],[EC (max)]]="", "", IFERROR(VALUE(Nutrients_1[[#This Row],[EC (max)]]), ""))</f>
        <v/>
      </c>
      <c r="H16" t="str" cm="1">
        <f t="array" ref="H16">_xlfn.LET(_xlpm.data, _xlfn.SINGLE(Nutrients_1[pH (min)]), IF(_xlpm.data="", "", IFERROR(VALUE(_xlpm.data), "")))</f>
        <v/>
      </c>
      <c r="J16" t="str" cm="1">
        <f t="array" ref="J16">_xlfn.LET(_xlpm.data, _xlfn.SINGLE(Nutrients_1[pH (max)]), IF(_xlpm.data="", "", IFERROR(VALUE(_xlpm.data), "")))</f>
        <v/>
      </c>
      <c r="L16" t="str" cm="1">
        <f t="array" ref="L16">_xlfn.LET(_xlpm.data, _xlfn.SINGLE(Nutrients_1[Nitrogen]), IF(_xlpm.data="", "", IFERROR(VALUE(_xlpm.data), "")))</f>
        <v/>
      </c>
      <c r="N16" t="str">
        <f>IF(Nutrients_1[[#This Row],[Phosphorus]]="", "", IFERROR(VALUE(Nutrients_1[[#This Row],[Phosphorus]]), ""))</f>
        <v/>
      </c>
      <c r="P16" t="str">
        <f>IF(Nutrients_1[[#This Row],[Potassium]]="", "", IFERROR(VALUE(Nutrients_1[[#This Row],[Potassium]]), ""))</f>
        <v/>
      </c>
      <c r="R16" t="str">
        <f>IF(Nutrients_1[[#This Row],[Calcium]]="", "", IFERROR(VALUE(Nutrients_1[[#This Row],[Calcium]]), ""))</f>
        <v/>
      </c>
      <c r="T16" t="str" cm="1">
        <f t="array" ref="T16">_xlfn.LET(_xlpm.data, Nutrients_1[[#This Row],[Magnesium]], IF(_xlpm.data="", "", IFERROR(VALUE(_xlpm.data), "")))</f>
        <v/>
      </c>
      <c r="V16" t="str" cm="1">
        <f t="array" ref="V16">_xlfn.LET(_xlpm.data, Nutrients_1[[#This Row],[Sulfur]], IF(_xlpm.data="", "", IFERROR(VALUE(_xlpm.data), "")))</f>
        <v/>
      </c>
      <c r="X16" t="str" cm="1">
        <f t="array" ref="X16">_xlfn.LET(_xlpm.data, Nutrients_1[[#This Row],[Iron]], IF(_xlpm.data="", "", IFERROR(VALUE(_xlpm.data), "")))</f>
        <v/>
      </c>
      <c r="Z16" t="str" cm="1">
        <f t="array" ref="Z16">_xlfn.LET(_xlpm.data, Nutrients_1[[#This Row],[Manganese]], IF(_xlpm.data="", "", IFERROR(VALUE(_xlpm.data), "")))</f>
        <v/>
      </c>
      <c r="AB16" t="str" cm="1">
        <f t="array" ref="AB16">_xlfn.LET(_xlpm.data, Nutrients_1[[#This Row],[Zinc]], IF(_xlpm.data="", "", IFERROR(VALUE(_xlpm.data), "")))</f>
        <v/>
      </c>
      <c r="AD16" t="str" cm="1">
        <f t="array" ref="AD16">_xlfn.LET(_xlpm.data, Nutrients_1[[#This Row],[Boron]], IF(_xlpm.data="", "", IFERROR(VALUE(_xlpm.data), "")))</f>
        <v/>
      </c>
      <c r="AF16" t="str" cm="1">
        <f t="array" ref="AF16">_xlfn.LET(_xlpm.data, Nutrients_1[[#This Row],[Copper]], IF(_xlpm.data="", "", IFERROR(VALUE(_xlpm.data), "")))</f>
        <v/>
      </c>
      <c r="AH16" t="str" cm="1">
        <f t="array" ref="AH16">_xlfn.LET(_xlpm.data, Nutrients_1[[#This Row],[Molybdenum]], IF(_xlpm.data="", "", IFERROR(VALUE(_xlpm.data), "")))</f>
        <v/>
      </c>
      <c r="AJ16" t="str" cm="1">
        <f t="array" ref="AJ16">_xlfn.LET(_xlpm.data, Nutrients_1[[#This Row],[Cl]], IF(_xlpm.data="", "", IFERROR(VALUE(_xlpm.data), "")))</f>
        <v/>
      </c>
      <c r="AN16" t="str" cm="1">
        <f t="array" aca="1" ref="AN16" ca="1">_xlfn.LET(_xlpm.value, OFFSET(INDIRECT(ADDRESS(ROW(), COLUMN())), 0, -1), IF(_xlpm.value="", " ", _xlpm.value))</f>
        <v xml:space="preserve"> </v>
      </c>
      <c r="AO16" t="str">
        <f ca="1">IFERROR(AVERAGEIFS(Nutrients_1[V:pH (min)], Nutrients_1[For], Nutrients_2[[#This Row],[For]], Nutrients_1[Active], "1"), " ")</f>
        <v xml:space="preserve"> </v>
      </c>
      <c r="AP16" t="str">
        <f ca="1">IFERROR(AVERAGEIFS(Nutrients_1[V:pH (max)], Nutrients_1[For], Nutrients_2[[#This Row],[For]], Nutrients_1[Active], "1"), " ")</f>
        <v xml:space="preserve"> </v>
      </c>
      <c r="AQ16" t="str">
        <f ca="1">IFERROR(AVERAGEIFS(Nutrients_1[V:EC (min)], Nutrients_1[For], Nutrients_2[[#This Row],[For]], Nutrients_1[Active], "1"), " ")</f>
        <v xml:space="preserve"> </v>
      </c>
      <c r="AR16" t="str">
        <f ca="1">IFERROR(AVERAGEIFS(Nutrients_1[V:EC (max)], Nutrients_1[For], Nutrients_2[[#This Row],[For]], Nutrients_1[Active], "1"), " ")</f>
        <v xml:space="preserve"> </v>
      </c>
      <c r="AS16" t="str">
        <f ca="1">IFERROR(AVERAGEIFS(Nutrients_1[V:Nitrogen], Nutrients_1[For], Nutrients_2[[#This Row],[For]], Nutrients_1[Active], "1"), " ")</f>
        <v xml:space="preserve"> </v>
      </c>
      <c r="AT16" t="str">
        <f ca="1">IFERROR(AVERAGEIFS(Nutrients_1[V:Phosphorus], Nutrients_1[For], Nutrients_2[[#This Row],[For]], Nutrients_1[Active], "1"), " ")</f>
        <v xml:space="preserve"> </v>
      </c>
      <c r="AU16" t="str">
        <f ca="1">IFERROR(AVERAGEIFS(Nutrients_1[V:Potassium], Nutrients_1[For], Nutrients_2[[#This Row],[For]], Nutrients_1[Active], "1"), " ")</f>
        <v xml:space="preserve"> </v>
      </c>
      <c r="AV16" t="str">
        <f ca="1">IFERROR(AVERAGEIFS(Nutrients_1[V:Calcium], Nutrients_1[For], Nutrients_2[[#This Row],[For]], Nutrients_1[Active], "1"), " ")</f>
        <v xml:space="preserve"> </v>
      </c>
      <c r="AW16" t="str">
        <f ca="1">IFERROR(AVERAGEIFS(Nutrients_1[V:Magnesium], Nutrients_1[For], Nutrients_2[[#This Row],[For]], Nutrients_1[Active], "1"), " ")</f>
        <v xml:space="preserve"> </v>
      </c>
      <c r="AX16" t="str">
        <f ca="1">IFERROR(AVERAGEIFS(Nutrients_1[V:Sulfur], Nutrients_1[For], Nutrients_2[[#This Row],[For]], Nutrients_1[Active], "1"), " ")</f>
        <v xml:space="preserve"> </v>
      </c>
      <c r="AY16" t="str">
        <f ca="1">IFERROR(AVERAGEIFS(Nutrients_1[V:Iron], Nutrients_1[For], Nutrients_2[[#This Row],[For]], Nutrients_1[Active], "1"), " ")</f>
        <v xml:space="preserve"> </v>
      </c>
      <c r="AZ16" t="str">
        <f ca="1">IFERROR(AVERAGEIFS(Nutrients_1[V:Manganese], Nutrients_1[For], Nutrients_2[[#This Row],[For]], Nutrients_1[Active], "1"), " ")</f>
        <v xml:space="preserve"> </v>
      </c>
      <c r="BA16" t="str">
        <f ca="1">IFERROR(AVERAGEIFS(Nutrients_1[V:Zinc], Nutrients_1[For], Nutrients_2[[#This Row],[For]], Nutrients_1[Active], "1"), " ")</f>
        <v xml:space="preserve"> </v>
      </c>
      <c r="BB16" t="str">
        <f ca="1">IFERROR(AVERAGEIFS(Nutrients_1[V:Boron], Nutrients_1[For], Nutrients_2[[#This Row],[For]], Nutrients_1[Active], "1"), " ")</f>
        <v xml:space="preserve"> </v>
      </c>
      <c r="BC16" t="str">
        <f ca="1">IFERROR(AVERAGEIFS(Nutrients_1[V:Copper], Nutrients_1[For], Nutrients_2[[#This Row],[For]], Nutrients_1[Active], "1"), " ")</f>
        <v xml:space="preserve"> </v>
      </c>
      <c r="BD16" t="str">
        <f ca="1">IFERROR(AVERAGEIFS(Nutrients_1[V:Molybdenum], Nutrients_1[For], Nutrients_2[[#This Row],[For]], Nutrients_1[Active], "1"), " ")</f>
        <v xml:space="preserve"> </v>
      </c>
      <c r="BE16" t="str">
        <f ca="1">IFERROR(AVERAGEIFS(Nutrients_1[V:Cl], Nutrients_1[For], Nutrients_2[[#This Row],[For]], Nutrients_1[Active], "1"), " ")</f>
        <v xml:space="preserve"> </v>
      </c>
    </row>
    <row r="17" spans="4:57">
      <c r="D17" t="str">
        <f>IF(Nutrients_1[[#This Row],[EC (min)]]="", "", IFERROR(VALUE(Nutrients_1[[#This Row],[EC (min)]]), ""))</f>
        <v/>
      </c>
      <c r="F17" t="str">
        <f>IF(Nutrients_1[[#This Row],[EC (max)]]="", "", IFERROR(VALUE(Nutrients_1[[#This Row],[EC (max)]]), ""))</f>
        <v/>
      </c>
      <c r="H17" t="str" cm="1">
        <f t="array" ref="H17">_xlfn.LET(_xlpm.data, _xlfn.SINGLE(Nutrients_1[pH (min)]), IF(_xlpm.data="", "", IFERROR(VALUE(_xlpm.data), "")))</f>
        <v/>
      </c>
      <c r="J17" t="str" cm="1">
        <f t="array" ref="J17">_xlfn.LET(_xlpm.data, _xlfn.SINGLE(Nutrients_1[pH (max)]), IF(_xlpm.data="", "", IFERROR(VALUE(_xlpm.data), "")))</f>
        <v/>
      </c>
      <c r="L17" t="str" cm="1">
        <f t="array" ref="L17">_xlfn.LET(_xlpm.data, _xlfn.SINGLE(Nutrients_1[Nitrogen]), IF(_xlpm.data="", "", IFERROR(VALUE(_xlpm.data), "")))</f>
        <v/>
      </c>
      <c r="N17" t="str">
        <f>IF(Nutrients_1[[#This Row],[Phosphorus]]="", "", IFERROR(VALUE(Nutrients_1[[#This Row],[Phosphorus]]), ""))</f>
        <v/>
      </c>
      <c r="P17" t="str">
        <f>IF(Nutrients_1[[#This Row],[Potassium]]="", "", IFERROR(VALUE(Nutrients_1[[#This Row],[Potassium]]), ""))</f>
        <v/>
      </c>
      <c r="R17" t="str">
        <f>IF(Nutrients_1[[#This Row],[Calcium]]="", "", IFERROR(VALUE(Nutrients_1[[#This Row],[Calcium]]), ""))</f>
        <v/>
      </c>
      <c r="T17" t="str" cm="1">
        <f t="array" ref="T17">_xlfn.LET(_xlpm.data, Nutrients_1[[#This Row],[Magnesium]], IF(_xlpm.data="", "", IFERROR(VALUE(_xlpm.data), "")))</f>
        <v/>
      </c>
      <c r="V17" t="str" cm="1">
        <f t="array" ref="V17">_xlfn.LET(_xlpm.data, Nutrients_1[[#This Row],[Sulfur]], IF(_xlpm.data="", "", IFERROR(VALUE(_xlpm.data), "")))</f>
        <v/>
      </c>
      <c r="X17" t="str" cm="1">
        <f t="array" ref="X17">_xlfn.LET(_xlpm.data, Nutrients_1[[#This Row],[Iron]], IF(_xlpm.data="", "", IFERROR(VALUE(_xlpm.data), "")))</f>
        <v/>
      </c>
      <c r="Z17" t="str" cm="1">
        <f t="array" ref="Z17">_xlfn.LET(_xlpm.data, Nutrients_1[[#This Row],[Manganese]], IF(_xlpm.data="", "", IFERROR(VALUE(_xlpm.data), "")))</f>
        <v/>
      </c>
      <c r="AB17" t="str" cm="1">
        <f t="array" ref="AB17">_xlfn.LET(_xlpm.data, Nutrients_1[[#This Row],[Zinc]], IF(_xlpm.data="", "", IFERROR(VALUE(_xlpm.data), "")))</f>
        <v/>
      </c>
      <c r="AD17" t="str" cm="1">
        <f t="array" ref="AD17">_xlfn.LET(_xlpm.data, Nutrients_1[[#This Row],[Boron]], IF(_xlpm.data="", "", IFERROR(VALUE(_xlpm.data), "")))</f>
        <v/>
      </c>
      <c r="AF17" t="str" cm="1">
        <f t="array" ref="AF17">_xlfn.LET(_xlpm.data, Nutrients_1[[#This Row],[Copper]], IF(_xlpm.data="", "", IFERROR(VALUE(_xlpm.data), "")))</f>
        <v/>
      </c>
      <c r="AH17" t="str" cm="1">
        <f t="array" ref="AH17">_xlfn.LET(_xlpm.data, Nutrients_1[[#This Row],[Molybdenum]], IF(_xlpm.data="", "", IFERROR(VALUE(_xlpm.data), "")))</f>
        <v/>
      </c>
      <c r="AJ17" t="str" cm="1">
        <f t="array" ref="AJ17">_xlfn.LET(_xlpm.data, Nutrients_1[[#This Row],[Cl]], IF(_xlpm.data="", "", IFERROR(VALUE(_xlpm.data), "")))</f>
        <v/>
      </c>
      <c r="AN17" t="str" cm="1">
        <f t="array" aca="1" ref="AN17" ca="1">_xlfn.LET(_xlpm.value, OFFSET(INDIRECT(ADDRESS(ROW(), COLUMN())), 0, -1), IF(_xlpm.value="", " ", _xlpm.value))</f>
        <v xml:space="preserve"> </v>
      </c>
      <c r="AO17" t="str">
        <f ca="1">IFERROR(AVERAGEIFS(Nutrients_1[V:pH (min)], Nutrients_1[For], Nutrients_2[[#This Row],[For]], Nutrients_1[Active], "1"), " ")</f>
        <v xml:space="preserve"> </v>
      </c>
      <c r="AP17" t="str">
        <f ca="1">IFERROR(AVERAGEIFS(Nutrients_1[V:pH (max)], Nutrients_1[For], Nutrients_2[[#This Row],[For]], Nutrients_1[Active], "1"), " ")</f>
        <v xml:space="preserve"> </v>
      </c>
      <c r="AQ17" t="str">
        <f ca="1">IFERROR(AVERAGEIFS(Nutrients_1[V:EC (min)], Nutrients_1[For], Nutrients_2[[#This Row],[For]], Nutrients_1[Active], "1"), " ")</f>
        <v xml:space="preserve"> </v>
      </c>
      <c r="AR17" t="str">
        <f ca="1">IFERROR(AVERAGEIFS(Nutrients_1[V:EC (max)], Nutrients_1[For], Nutrients_2[[#This Row],[For]], Nutrients_1[Active], "1"), " ")</f>
        <v xml:space="preserve"> </v>
      </c>
      <c r="AS17" t="str">
        <f ca="1">IFERROR(AVERAGEIFS(Nutrients_1[V:Nitrogen], Nutrients_1[For], Nutrients_2[[#This Row],[For]], Nutrients_1[Active], "1"), " ")</f>
        <v xml:space="preserve"> </v>
      </c>
      <c r="AT17" t="str">
        <f ca="1">IFERROR(AVERAGEIFS(Nutrients_1[V:Phosphorus], Nutrients_1[For], Nutrients_2[[#This Row],[For]], Nutrients_1[Active], "1"), " ")</f>
        <v xml:space="preserve"> </v>
      </c>
      <c r="AU17" t="str">
        <f ca="1">IFERROR(AVERAGEIFS(Nutrients_1[V:Potassium], Nutrients_1[For], Nutrients_2[[#This Row],[For]], Nutrients_1[Active], "1"), " ")</f>
        <v xml:space="preserve"> </v>
      </c>
      <c r="AV17" t="str">
        <f ca="1">IFERROR(AVERAGEIFS(Nutrients_1[V:Calcium], Nutrients_1[For], Nutrients_2[[#This Row],[For]], Nutrients_1[Active], "1"), " ")</f>
        <v xml:space="preserve"> </v>
      </c>
      <c r="AW17" t="str">
        <f ca="1">IFERROR(AVERAGEIFS(Nutrients_1[V:Magnesium], Nutrients_1[For], Nutrients_2[[#This Row],[For]], Nutrients_1[Active], "1"), " ")</f>
        <v xml:space="preserve"> </v>
      </c>
      <c r="AX17" t="str">
        <f ca="1">IFERROR(AVERAGEIFS(Nutrients_1[V:Sulfur], Nutrients_1[For], Nutrients_2[[#This Row],[For]], Nutrients_1[Active], "1"), " ")</f>
        <v xml:space="preserve"> </v>
      </c>
      <c r="AY17" t="str">
        <f ca="1">IFERROR(AVERAGEIFS(Nutrients_1[V:Iron], Nutrients_1[For], Nutrients_2[[#This Row],[For]], Nutrients_1[Active], "1"), " ")</f>
        <v xml:space="preserve"> </v>
      </c>
      <c r="AZ17" t="str">
        <f ca="1">IFERROR(AVERAGEIFS(Nutrients_1[V:Manganese], Nutrients_1[For], Nutrients_2[[#This Row],[For]], Nutrients_1[Active], "1"), " ")</f>
        <v xml:space="preserve"> </v>
      </c>
      <c r="BA17" t="str">
        <f ca="1">IFERROR(AVERAGEIFS(Nutrients_1[V:Zinc], Nutrients_1[For], Nutrients_2[[#This Row],[For]], Nutrients_1[Active], "1"), " ")</f>
        <v xml:space="preserve"> </v>
      </c>
      <c r="BB17" t="str">
        <f ca="1">IFERROR(AVERAGEIFS(Nutrients_1[V:Boron], Nutrients_1[For], Nutrients_2[[#This Row],[For]], Nutrients_1[Active], "1"), " ")</f>
        <v xml:space="preserve"> </v>
      </c>
      <c r="BC17" t="str">
        <f ca="1">IFERROR(AVERAGEIFS(Nutrients_1[V:Copper], Nutrients_1[For], Nutrients_2[[#This Row],[For]], Nutrients_1[Active], "1"), " ")</f>
        <v xml:space="preserve"> </v>
      </c>
      <c r="BD17" t="str">
        <f ca="1">IFERROR(AVERAGEIFS(Nutrients_1[V:Molybdenum], Nutrients_1[For], Nutrients_2[[#This Row],[For]], Nutrients_1[Active], "1"), " ")</f>
        <v xml:space="preserve"> </v>
      </c>
      <c r="BE17" t="str">
        <f ca="1">IFERROR(AVERAGEIFS(Nutrients_1[V:Cl], Nutrients_1[For], Nutrients_2[[#This Row],[For]], Nutrients_1[Active], "1"), " ")</f>
        <v xml:space="preserve"> </v>
      </c>
    </row>
    <row r="18" spans="4:57">
      <c r="D18" t="str">
        <f>IF(Nutrients_1[[#This Row],[EC (min)]]="", "", IFERROR(VALUE(Nutrients_1[[#This Row],[EC (min)]]), ""))</f>
        <v/>
      </c>
      <c r="F18" t="str">
        <f>IF(Nutrients_1[[#This Row],[EC (max)]]="", "", IFERROR(VALUE(Nutrients_1[[#This Row],[EC (max)]]), ""))</f>
        <v/>
      </c>
      <c r="H18" t="str" cm="1">
        <f t="array" ref="H18">_xlfn.LET(_xlpm.data, _xlfn.SINGLE(Nutrients_1[pH (min)]), IF(_xlpm.data="", "", IFERROR(VALUE(_xlpm.data), "")))</f>
        <v/>
      </c>
      <c r="J18" t="str" cm="1">
        <f t="array" ref="J18">_xlfn.LET(_xlpm.data, _xlfn.SINGLE(Nutrients_1[pH (max)]), IF(_xlpm.data="", "", IFERROR(VALUE(_xlpm.data), "")))</f>
        <v/>
      </c>
      <c r="L18" t="str" cm="1">
        <f t="array" ref="L18">_xlfn.LET(_xlpm.data, _xlfn.SINGLE(Nutrients_1[Nitrogen]), IF(_xlpm.data="", "", IFERROR(VALUE(_xlpm.data), "")))</f>
        <v/>
      </c>
      <c r="N18" t="str">
        <f>IF(Nutrients_1[[#This Row],[Phosphorus]]="", "", IFERROR(VALUE(Nutrients_1[[#This Row],[Phosphorus]]), ""))</f>
        <v/>
      </c>
      <c r="P18" t="str">
        <f>IF(Nutrients_1[[#This Row],[Potassium]]="", "", IFERROR(VALUE(Nutrients_1[[#This Row],[Potassium]]), ""))</f>
        <v/>
      </c>
      <c r="R18" t="str">
        <f>IF(Nutrients_1[[#This Row],[Calcium]]="", "", IFERROR(VALUE(Nutrients_1[[#This Row],[Calcium]]), ""))</f>
        <v/>
      </c>
      <c r="T18" t="str" cm="1">
        <f t="array" ref="T18">_xlfn.LET(_xlpm.data, Nutrients_1[[#This Row],[Magnesium]], IF(_xlpm.data="", "", IFERROR(VALUE(_xlpm.data), "")))</f>
        <v/>
      </c>
      <c r="V18" t="str" cm="1">
        <f t="array" ref="V18">_xlfn.LET(_xlpm.data, Nutrients_1[[#This Row],[Sulfur]], IF(_xlpm.data="", "", IFERROR(VALUE(_xlpm.data), "")))</f>
        <v/>
      </c>
      <c r="X18" t="str" cm="1">
        <f t="array" ref="X18">_xlfn.LET(_xlpm.data, Nutrients_1[[#This Row],[Iron]], IF(_xlpm.data="", "", IFERROR(VALUE(_xlpm.data), "")))</f>
        <v/>
      </c>
      <c r="Z18" t="str" cm="1">
        <f t="array" ref="Z18">_xlfn.LET(_xlpm.data, Nutrients_1[[#This Row],[Manganese]], IF(_xlpm.data="", "", IFERROR(VALUE(_xlpm.data), "")))</f>
        <v/>
      </c>
      <c r="AB18" t="str" cm="1">
        <f t="array" ref="AB18">_xlfn.LET(_xlpm.data, Nutrients_1[[#This Row],[Zinc]], IF(_xlpm.data="", "", IFERROR(VALUE(_xlpm.data), "")))</f>
        <v/>
      </c>
      <c r="AD18" t="str" cm="1">
        <f t="array" ref="AD18">_xlfn.LET(_xlpm.data, Nutrients_1[[#This Row],[Boron]], IF(_xlpm.data="", "", IFERROR(VALUE(_xlpm.data), "")))</f>
        <v/>
      </c>
      <c r="AF18" t="str" cm="1">
        <f t="array" ref="AF18">_xlfn.LET(_xlpm.data, Nutrients_1[[#This Row],[Copper]], IF(_xlpm.data="", "", IFERROR(VALUE(_xlpm.data), "")))</f>
        <v/>
      </c>
      <c r="AH18" t="str" cm="1">
        <f t="array" ref="AH18">_xlfn.LET(_xlpm.data, Nutrients_1[[#This Row],[Molybdenum]], IF(_xlpm.data="", "", IFERROR(VALUE(_xlpm.data), "")))</f>
        <v/>
      </c>
      <c r="AJ18" t="str" cm="1">
        <f t="array" ref="AJ18">_xlfn.LET(_xlpm.data, Nutrients_1[[#This Row],[Cl]], IF(_xlpm.data="", "", IFERROR(VALUE(_xlpm.data), "")))</f>
        <v/>
      </c>
      <c r="AN18" t="str" cm="1">
        <f t="array" aca="1" ref="AN18" ca="1">_xlfn.LET(_xlpm.value, OFFSET(INDIRECT(ADDRESS(ROW(), COLUMN())), 0, -1), IF(_xlpm.value="", " ", _xlpm.value))</f>
        <v xml:space="preserve"> </v>
      </c>
      <c r="AO18" t="str">
        <f ca="1">IFERROR(AVERAGEIFS(Nutrients_1[V:pH (min)], Nutrients_1[For], Nutrients_2[[#This Row],[For]], Nutrients_1[Active], "1"), " ")</f>
        <v xml:space="preserve"> </v>
      </c>
      <c r="AP18" t="str">
        <f ca="1">IFERROR(AVERAGEIFS(Nutrients_1[V:pH (max)], Nutrients_1[For], Nutrients_2[[#This Row],[For]], Nutrients_1[Active], "1"), " ")</f>
        <v xml:space="preserve"> </v>
      </c>
      <c r="AQ18" t="str">
        <f ca="1">IFERROR(AVERAGEIFS(Nutrients_1[V:EC (min)], Nutrients_1[For], Nutrients_2[[#This Row],[For]], Nutrients_1[Active], "1"), " ")</f>
        <v xml:space="preserve"> </v>
      </c>
      <c r="AR18" t="str">
        <f ca="1">IFERROR(AVERAGEIFS(Nutrients_1[V:EC (max)], Nutrients_1[For], Nutrients_2[[#This Row],[For]], Nutrients_1[Active], "1"), " ")</f>
        <v xml:space="preserve"> </v>
      </c>
      <c r="AS18" t="str">
        <f ca="1">IFERROR(AVERAGEIFS(Nutrients_1[V:Nitrogen], Nutrients_1[For], Nutrients_2[[#This Row],[For]], Nutrients_1[Active], "1"), " ")</f>
        <v xml:space="preserve"> </v>
      </c>
      <c r="AT18" t="str">
        <f ca="1">IFERROR(AVERAGEIFS(Nutrients_1[V:Phosphorus], Nutrients_1[For], Nutrients_2[[#This Row],[For]], Nutrients_1[Active], "1"), " ")</f>
        <v xml:space="preserve"> </v>
      </c>
      <c r="AU18" t="str">
        <f ca="1">IFERROR(AVERAGEIFS(Nutrients_1[V:Potassium], Nutrients_1[For], Nutrients_2[[#This Row],[For]], Nutrients_1[Active], "1"), " ")</f>
        <v xml:space="preserve"> </v>
      </c>
      <c r="AV18" t="str">
        <f ca="1">IFERROR(AVERAGEIFS(Nutrients_1[V:Calcium], Nutrients_1[For], Nutrients_2[[#This Row],[For]], Nutrients_1[Active], "1"), " ")</f>
        <v xml:space="preserve"> </v>
      </c>
      <c r="AW18" t="str">
        <f ca="1">IFERROR(AVERAGEIFS(Nutrients_1[V:Magnesium], Nutrients_1[For], Nutrients_2[[#This Row],[For]], Nutrients_1[Active], "1"), " ")</f>
        <v xml:space="preserve"> </v>
      </c>
      <c r="AX18" t="str">
        <f ca="1">IFERROR(AVERAGEIFS(Nutrients_1[V:Sulfur], Nutrients_1[For], Nutrients_2[[#This Row],[For]], Nutrients_1[Active], "1"), " ")</f>
        <v xml:space="preserve"> </v>
      </c>
      <c r="AY18" t="str">
        <f ca="1">IFERROR(AVERAGEIFS(Nutrients_1[V:Iron], Nutrients_1[For], Nutrients_2[[#This Row],[For]], Nutrients_1[Active], "1"), " ")</f>
        <v xml:space="preserve"> </v>
      </c>
      <c r="AZ18" t="str">
        <f ca="1">IFERROR(AVERAGEIFS(Nutrients_1[V:Manganese], Nutrients_1[For], Nutrients_2[[#This Row],[For]], Nutrients_1[Active], "1"), " ")</f>
        <v xml:space="preserve"> </v>
      </c>
      <c r="BA18" t="str">
        <f ca="1">IFERROR(AVERAGEIFS(Nutrients_1[V:Zinc], Nutrients_1[For], Nutrients_2[[#This Row],[For]], Nutrients_1[Active], "1"), " ")</f>
        <v xml:space="preserve"> </v>
      </c>
      <c r="BB18" t="str">
        <f ca="1">IFERROR(AVERAGEIFS(Nutrients_1[V:Boron], Nutrients_1[For], Nutrients_2[[#This Row],[For]], Nutrients_1[Active], "1"), " ")</f>
        <v xml:space="preserve"> </v>
      </c>
      <c r="BC18" t="str">
        <f ca="1">IFERROR(AVERAGEIFS(Nutrients_1[V:Copper], Nutrients_1[For], Nutrients_2[[#This Row],[For]], Nutrients_1[Active], "1"), " ")</f>
        <v xml:space="preserve"> </v>
      </c>
      <c r="BD18" t="str">
        <f ca="1">IFERROR(AVERAGEIFS(Nutrients_1[V:Molybdenum], Nutrients_1[For], Nutrients_2[[#This Row],[For]], Nutrients_1[Active], "1"), " ")</f>
        <v xml:space="preserve"> </v>
      </c>
      <c r="BE18" t="str">
        <f ca="1">IFERROR(AVERAGEIFS(Nutrients_1[V:Cl], Nutrients_1[For], Nutrients_2[[#This Row],[For]], Nutrients_1[Active], "1"), " ")</f>
        <v xml:space="preserve"> </v>
      </c>
    </row>
  </sheetData>
  <conditionalFormatting sqref="A11:AFO999999">
    <cfRule type="expression" dxfId="279" priority="2">
      <formula>AND(A11="", $A11&lt;&gt;"", A$10&lt;&gt;"")</formula>
    </cfRule>
  </conditionalFormatting>
  <conditionalFormatting sqref="A11:AFO999999">
    <cfRule type="expression" dxfId="278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8A58-85A6-453C-BB98-AC7575030ACE}">
  <dimension ref="A10:L14"/>
  <sheetViews>
    <sheetView topLeftCell="A6" workbookViewId="0">
      <selection activeCell="A12" sqref="A12"/>
    </sheetView>
  </sheetViews>
  <sheetFormatPr defaultRowHeight="15"/>
  <cols>
    <col min="1" max="2" width="20.140625" customWidth="1"/>
    <col min="3" max="3" width="20.42578125" customWidth="1"/>
    <col min="4" max="4" width="17.42578125" customWidth="1"/>
    <col min="5" max="5" width="29" customWidth="1"/>
    <col min="9" max="11" width="11.42578125" bestFit="1" customWidth="1"/>
    <col min="12" max="12" width="17.5703125" customWidth="1"/>
  </cols>
  <sheetData>
    <row r="10" spans="1:12">
      <c r="A10" s="17" t="s">
        <v>188</v>
      </c>
      <c r="B10" s="17" t="s">
        <v>61</v>
      </c>
      <c r="C10" s="17" t="s">
        <v>189</v>
      </c>
      <c r="D10" s="17" t="s">
        <v>190</v>
      </c>
      <c r="E10" s="17" t="s">
        <v>191</v>
      </c>
      <c r="I10" t="s">
        <v>61</v>
      </c>
      <c r="J10" t="s">
        <v>192</v>
      </c>
      <c r="K10" t="s">
        <v>188</v>
      </c>
      <c r="L10" t="s">
        <v>193</v>
      </c>
    </row>
    <row r="11" spans="1:12">
      <c r="A11" s="17">
        <v>1700</v>
      </c>
      <c r="B11" s="19" t="s">
        <v>82</v>
      </c>
      <c r="C11" s="36" t="s">
        <v>145</v>
      </c>
      <c r="D11" s="17">
        <v>125</v>
      </c>
      <c r="E11" s="17" cm="1">
        <f t="array" ref="E11">IFERROR(_xlfn.LET(
    _xlpm.targetN, xxx_Recipes[[#This Row],[Target PPM N]],
    _xlpm.fertilizerN, _xlfn.XLOOKUP(xxx_Recipes[[#This Row],[Fertilizer]], Fertilizers[Fertilizer], Fertilizers[N]) / 100,
    _xlpm.targetN / _xlpm.fertilizerN * xxx_Recipes[[#This Row],[Water Added (mL)]] / 1000 / 1000
), "")</f>
        <v>1.7708333333333335</v>
      </c>
      <c r="G11" t="str" cm="1">
        <f t="array" aca="1" ref="G11:H12" ca="1">_xlfn.LET(
    _xlpm.fertilizers,_xlfn._xlws.FILTER(_xlfn.UNIQUE(TRIM(Fertilizers[Fertilizer])),_xlfn.UNIQUE(TRIM(Fertilizers[Fertilizer]))&lt;&gt;""),
    _xlpm.nutrients,_xlfn._xlws.FILTER(_xlfn.UNIQUE(TRIM(Nutrients_2[For])),_xlfn.UNIQUE(TRIM(Nutrients_2[For]))&lt;&gt;""),
    _xlpm.data,_xlfn.MAKEARRAY(
        ROWS(_xlpm.fertilizers)*ROWS(_xlpm.nutrients),
        2,
        _xlfn.LAMBDA(_xlpm.r,_xlpm.c,
            IF(
                _xlpm.c=1,
                INDEX(_xlpm.fertilizers,ROUNDUP(_xlpm.r/ROWS(_xlpm.nutrients),0)),
                INDEX(_xlpm.nutrients,MOD(_xlpm.r-1,ROWS(_xlpm.nutrients))+1)
            )
        )
    ),
    _xlfn.SORTBY(_xlpm.data,_xlfn.CHOOSECOLS(_xlpm.data,2),1,VALUE(_xlfn.CHOOSECOLS(_xlpm.data,1)),1)
)</f>
        <v>12-4-16</v>
      </c>
      <c r="H11" t="str">
        <f ca="1"/>
        <v>Lactuca sativa</v>
      </c>
      <c r="I11" t="str" cm="1">
        <f t="array" aca="1" ref="I11" ca="1">_xlfn.LET(_xlpm.value, OFFSET(INDIRECT(ADDRESS(ROW(),COLUMN())),0,-2), IF(_xlpm.value="","",_xlpm.value))</f>
        <v>12-4-16</v>
      </c>
      <c r="J11" t="str" cm="1">
        <f t="array" aca="1" ref="J11" ca="1">_xlfn.LET(_xlpm.value, OFFSET(INDIRECT(ADDRESS(ROW(),COLUMN())),0,-2), IF(_xlpm.value="","",_xlpm.value))</f>
        <v>Lactuca sativa</v>
      </c>
      <c r="K11">
        <v>1000</v>
      </c>
      <c r="L11" cm="1">
        <f t="array" aca="1" ref="L11" ca="1">IFERROR(_xlfn.LET( _xlpm.targetN, _xlfn.XLOOKUP(xxx_Table23[[#This Row],[Plant]], Nutrients_2[For], Nutrients_2[C:Nitrogen]), _xlpm.fertilizerN, _xlfn.XLOOKUP(xxx_Table23[[#This Row],[Fertilizer]], Fertilizers[Fertilizer], Fertilizers[N]) / 100, _xlpm.targetN / _xlpm.fertilizerN * xxx_Table23[[#This Row],[Water Added (mL)]] / 1000 / 1000 ), "")</f>
        <v>1.25</v>
      </c>
    </row>
    <row r="12" spans="1:12">
      <c r="G12" t="str">
        <f ca="1"/>
        <v>12-4-16</v>
      </c>
      <c r="H12" t="str">
        <f ca="1"/>
        <v>Ocimum basilicum</v>
      </c>
      <c r="I12" t="str" cm="1">
        <f t="array" aca="1" ref="I12" ca="1">_xlfn.LET(_xlpm.value, OFFSET(INDIRECT(ADDRESS(ROW(),COLUMN())),0,-2), IF(_xlpm.value="","",_xlpm.value))</f>
        <v>12-4-16</v>
      </c>
      <c r="J12" t="str" cm="1">
        <f t="array" aca="1" ref="J12" ca="1">_xlfn.LET(_xlpm.value, OFFSET(INDIRECT(ADDRESS(ROW(),COLUMN())),0,-2), IF(_xlpm.value="","",_xlpm.value))</f>
        <v>Ocimum basilicum</v>
      </c>
      <c r="K12">
        <v>1000</v>
      </c>
      <c r="L12" cm="1">
        <f t="array" aca="1" ref="L12" ca="1">IFERROR(_xlfn.LET( _xlpm.targetN, _xlfn.XLOOKUP(xxx_Table23[[#This Row],[Plant]], Nutrients_2[For], Nutrients_2[C:Nitrogen]), _xlpm.fertilizerN, _xlfn.XLOOKUP(xxx_Table23[[#This Row],[Fertilizer]], Fertilizers[Fertilizer], Fertilizers[N]) / 100, _xlpm.targetN / _xlpm.fertilizerN * xxx_Table23[[#This Row],[Water Added (mL)]] / 1000 / 1000 ), "")</f>
        <v>1.4166666666666667</v>
      </c>
    </row>
    <row r="13" spans="1:12">
      <c r="I13" t="str" cm="1">
        <f t="array" aca="1" ref="I13" ca="1">_xlfn.LET(_xlpm.value, OFFSET(INDIRECT(ADDRESS(ROW(),COLUMN())),0,-2), IF(_xlpm.value="","",_xlpm.value))</f>
        <v/>
      </c>
      <c r="J13" t="str" cm="1">
        <f t="array" aca="1" ref="J13" ca="1">_xlfn.LET(_xlpm.value, OFFSET(INDIRECT(ADDRESS(ROW(),COLUMN())),0,-2), IF(_xlpm.value="","",_xlpm.value))</f>
        <v/>
      </c>
      <c r="L13" t="str" cm="1">
        <f t="array" aca="1" ref="L13" ca="1">IFERROR(_xlfn.LET( _xlpm.targetN, _xlfn.XLOOKUP(xxx_Table23[[#This Row],[Plant]], Nutrients_2[For], Nutrients_2[C:Nitrogen]), _xlpm.fertilizerN, _xlfn.XLOOKUP(xxx_Table23[[#This Row],[Fertilizer]], Fertilizers[Fertilizer], Fertilizers[N]) / 100, _xlpm.targetN / _xlpm.fertilizerN * xxx_Table23[[#This Row],[Water Added (mL)]] / 1000 / 1000 ), "")</f>
        <v/>
      </c>
    </row>
    <row r="14" spans="1:12">
      <c r="I14" t="str" cm="1">
        <f t="array" aca="1" ref="I14" ca="1">_xlfn.LET(_xlpm.value, OFFSET(INDIRECT(ADDRESS(ROW(),COLUMN())),0,-2), IF(_xlpm.value="","",_xlpm.value))</f>
        <v/>
      </c>
      <c r="J14" t="str" cm="1">
        <f t="array" aca="1" ref="J14" ca="1">_xlfn.LET(_xlpm.value, OFFSET(INDIRECT(ADDRESS(ROW(),COLUMN())),0,-2), IF(_xlpm.value="","",_xlpm.value))</f>
        <v/>
      </c>
      <c r="L14" t="str" cm="1">
        <f t="array" aca="1" ref="L14" ca="1">IFERROR(_xlfn.LET( _xlpm.targetN, _xlfn.XLOOKUP(xxx_Table23[[#This Row],[Plant]], Nutrients_2[For], Nutrients_2[C:Nitrogen]), _xlpm.fertilizerN, _xlfn.XLOOKUP(xxx_Table23[[#This Row],[Fertilizer]], Fertilizers[Fertilizer], Fertilizers[N]) / 100, _xlpm.targetN / _xlpm.fertilizerN * xxx_Table23[[#This Row],[Water Added (mL)]] / 1000 / 1000 ), "")</f>
        <v/>
      </c>
    </row>
  </sheetData>
  <conditionalFormatting sqref="E11">
    <cfRule type="expression" dxfId="256" priority="323">
      <formula>AND(E11="", $A13&lt;&gt;"", N$10&lt;&gt;"")</formula>
    </cfRule>
  </conditionalFormatting>
  <conditionalFormatting sqref="C11:D11">
    <cfRule type="expression" dxfId="255" priority="324">
      <formula>AND(C11="", $A13&lt;&gt;"", #REF!&lt;&gt;"")</formula>
    </cfRule>
  </conditionalFormatting>
  <conditionalFormatting sqref="A11:AF999999">
    <cfRule type="expression" dxfId="254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5E07-0F50-464D-BC4A-5E10006A2F11}">
  <dimension ref="A2:R46"/>
  <sheetViews>
    <sheetView workbookViewId="0"/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3.7109375" bestFit="1" customWidth="1"/>
    <col min="6" max="6" width="11.42578125" bestFit="1" customWidth="1"/>
    <col min="17" max="17" width="11.42578125" bestFit="1" customWidth="1"/>
    <col min="19" max="19" width="11.42578125" bestFit="1" customWidth="1"/>
  </cols>
  <sheetData>
    <row r="2" spans="1:7">
      <c r="A2" t="s">
        <v>194</v>
      </c>
    </row>
    <row r="3" spans="1:7">
      <c r="A3" t="s">
        <v>195</v>
      </c>
    </row>
    <row r="4" spans="1:7">
      <c r="A4" t="s">
        <v>196</v>
      </c>
      <c r="B4" t="s">
        <v>197</v>
      </c>
      <c r="C4" t="s">
        <v>198</v>
      </c>
      <c r="D4" t="s">
        <v>199</v>
      </c>
      <c r="E4" t="s">
        <v>200</v>
      </c>
    </row>
    <row r="6" spans="1:7">
      <c r="A6" t="s">
        <v>201</v>
      </c>
      <c r="B6" t="s">
        <v>202</v>
      </c>
      <c r="C6" t="s">
        <v>203</v>
      </c>
      <c r="D6" t="s">
        <v>204</v>
      </c>
    </row>
    <row r="7" spans="1:7">
      <c r="A7" t="s">
        <v>145</v>
      </c>
      <c r="B7">
        <v>1.7</v>
      </c>
      <c r="C7">
        <f ca="1">IF(Recipes_Crop37[[#This Row],[Crop]]="","",IFERROR(IF(ISNUMBER(INDEX(Nutrients_2[C:pH (min)],MATCH(Recipes_Crop37[[#This Row],[Crop]],Nutrients_2[For],0))),INDEX(Nutrients_2[C:pH (min)],MATCH(Recipes_Crop37[[#This Row],[Crop]],Nutrients_2[For],0)),""),""))</f>
        <v>5.8</v>
      </c>
      <c r="D7">
        <f ca="1">IF(Recipes_Crop37[[#This Row],[Crop]]="","",IFERROR(IF(ISNUMBER(INDEX(Nutrients_2[C:pH (max)],MATCH(Recipes_Crop37[[#This Row],[Crop]],Nutrients_2[For],0))),INDEX(Nutrients_2[C:pH (max)],MATCH(Recipes_Crop37[[#This Row],[Crop]],Nutrients_2[For],0)),""),""))</f>
        <v>6.2</v>
      </c>
    </row>
    <row r="9" spans="1:7">
      <c r="A9" t="s">
        <v>205</v>
      </c>
    </row>
    <row r="10" spans="1:7">
      <c r="A10" t="s">
        <v>206</v>
      </c>
      <c r="B10" t="s">
        <v>190</v>
      </c>
      <c r="C10" t="s">
        <v>207</v>
      </c>
      <c r="D10" t="s">
        <v>208</v>
      </c>
      <c r="E10" t="s">
        <v>209</v>
      </c>
      <c r="F10" t="s">
        <v>210</v>
      </c>
      <c r="G10" t="s">
        <v>211</v>
      </c>
    </row>
    <row r="11" spans="1:7">
      <c r="A11" t="s">
        <v>82</v>
      </c>
      <c r="B11">
        <v>125</v>
      </c>
      <c r="E11" cm="1">
        <f t="array" aca="1" ref="E11" ca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f>
        <v>1.7708333333333335</v>
      </c>
      <c r="F11" cm="1">
        <f t="array" aca="1" ref="F11" ca="1">IF(OR(Recipe_Input36[[#This Row],[Type of fertilizer]]="",Recipe_Input36[[#This Row],[Amount (grams)]]=""),"",IFERROR(Recipe_Input36[[#This Row],[Amount (grams)]]*1000/Recipes_Crop37[Nutrient Volume (L)],""))</f>
        <v>1041.6666666666667</v>
      </c>
      <c r="G11" cm="1">
        <f t="array" aca="1" ref="G11" ca="1">IFERROR(IF(Recipe_Input36[[#This Row],[Type of fertilizer]]="",0,VALUE(INDEX(Fertilizers[N],MATCH(Recipe_Input36[[#This Row],[Type of fertilizer]],Fertilizers[Fertilizer],0)))*N(Recipe_Input36[[#This Row],[Amount (grams)]])*10/Recipes_Crop37[Nutrient Volume (L)]),0)</f>
        <v>125</v>
      </c>
    </row>
    <row r="12" spans="1:7">
      <c r="E12" t="str" cm="1">
        <f t="array" aca="1" ref="E12" ca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f>
        <v/>
      </c>
      <c r="F12" t="str" cm="1">
        <f t="array" aca="1" ref="F12" ca="1">IF(OR(Recipe_Input36[[#This Row],[Type of fertilizer]]="",Recipe_Input36[[#This Row],[Amount (grams)]]=""),"",IFERROR(Recipe_Input36[[#This Row],[Amount (grams)]]*1000/Recipes_Crop37[Nutrient Volume (L)],""))</f>
        <v/>
      </c>
      <c r="G12" cm="1">
        <f t="array" aca="1" ref="G12" ca="1">IFERROR(IF(Recipe_Input36[[#This Row],[Type of fertilizer]]="",0,VALUE(INDEX(Fertilizers[N],MATCH(Recipe_Input36[[#This Row],[Type of fertilizer]],Fertilizers[Fertilizer],0)))*N(Recipe_Input36[[#This Row],[Amount (grams)]])*10/Recipes_Crop37[Nutrient Volume (L)]),0)</f>
        <v>0</v>
      </c>
    </row>
    <row r="13" spans="1:7">
      <c r="E13" t="str" cm="1">
        <f t="array" aca="1" ref="E13" ca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f>
        <v/>
      </c>
      <c r="F13" t="str" cm="1">
        <f t="array" aca="1" ref="F13" ca="1">IF(OR(Recipe_Input36[[#This Row],[Type of fertilizer]]="",Recipe_Input36[[#This Row],[Amount (grams)]]=""),"",IFERROR(Recipe_Input36[[#This Row],[Amount (grams)]]*1000/Recipes_Crop37[Nutrient Volume (L)],""))</f>
        <v/>
      </c>
      <c r="G13" cm="1">
        <f t="array" aca="1" ref="G13" ca="1">IFERROR(IF(Recipe_Input36[[#This Row],[Type of fertilizer]]="",0,VALUE(INDEX(Fertilizers[N],MATCH(Recipe_Input36[[#This Row],[Type of fertilizer]],Fertilizers[Fertilizer],0)))*N(Recipe_Input36[[#This Row],[Amount (grams)]])*10/Recipes_Crop37[Nutrient Volume (L)]),0)</f>
        <v>0</v>
      </c>
    </row>
    <row r="14" spans="1:7">
      <c r="E14" t="str" cm="1">
        <f t="array" aca="1" ref="E14" ca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f>
        <v/>
      </c>
      <c r="F14" t="str" cm="1">
        <f t="array" aca="1" ref="F14" ca="1">IF(OR(Recipe_Input36[[#This Row],[Type of fertilizer]]="",Recipe_Input36[[#This Row],[Amount (grams)]]=""),"",IFERROR(Recipe_Input36[[#This Row],[Amount (grams)]]*1000/Recipes_Crop37[Nutrient Volume (L)],""))</f>
        <v/>
      </c>
      <c r="G14" cm="1">
        <f t="array" aca="1" ref="G14" ca="1">IFERROR(IF(Recipe_Input36[[#This Row],[Type of fertilizer]]="",0,VALUE(INDEX(Fertilizers[N],MATCH(Recipe_Input36[[#This Row],[Type of fertilizer]],Fertilizers[Fertilizer],0)))*N(Recipe_Input36[[#This Row],[Amount (grams)]])*10/Recipes_Crop37[Nutrient Volume (L)]),0)</f>
        <v>0</v>
      </c>
    </row>
    <row r="15" spans="1:7">
      <c r="E15" t="str" cm="1">
        <f t="array" aca="1" ref="E15" ca="1">IF(Recipe_Input36[[#This Row],[Type of fertilizer]]="","",
 IFERROR(
  MAX(
   IF(N(Recipe_Input36[[#This Row],[Target PPM N]])=0,0,
      Recipe_Input36[[#This Row],[Target PPM N]]/(VALUE(INDEX(Fertilizers[N],MATCH(Recipe_Input36[[#This Row],[Type of fertilizer]],Fertilizers[Fertilizer],0)))/100)),
   IF(N(Recipe_Input36[[#This Row],[Target PPM P]])=0,0,
      Recipe_Input36[[#This Row],[Target PPM P]]/(VALUE(INDEX(Fertilizers[P],MATCH(Recipe_Input36[[#This Row],[Type of fertilizer]],Fertilizers[Fertilizer],0)))/100)),
   IF(N(Recipe_Input36[[#This Row],[Target PPM K]])=0,0,
      Recipe_Input36[[#This Row],[Target PPM K]]/(VALUE(INDEX(Fertilizers[K],MATCH(Recipe_Input36[[#This Row],[Type of fertilizer]],Fertilizers[Fertilizer],0)))/100))
  )/1000*Recipes_Crop37[Nutrient Volume (L)],
 "")
)</f>
        <v/>
      </c>
      <c r="F15" t="str" cm="1">
        <f t="array" aca="1" ref="F15" ca="1">IF(OR(Recipe_Input36[[#This Row],[Type of fertilizer]]="",Recipe_Input36[[#This Row],[Amount (grams)]]=""),"",IFERROR(Recipe_Input36[[#This Row],[Amount (grams)]]*1000/Recipes_Crop37[Nutrient Volume (L)],""))</f>
        <v/>
      </c>
      <c r="G15" cm="1">
        <f t="array" aca="1" ref="G15" ca="1">IFERROR(IF(Recipe_Input36[[#This Row],[Type of fertilizer]]="",0,VALUE(INDEX(Fertilizers[N],MATCH(Recipe_Input36[[#This Row],[Type of fertilizer]],Fertilizers[Fertilizer],0)))*N(Recipe_Input36[[#This Row],[Amount (grams)]])*10/Recipes_Crop37[Nutrient Volume (L)]),0)</f>
        <v>0</v>
      </c>
    </row>
    <row r="17" spans="1:18">
      <c r="A17" t="s">
        <v>212</v>
      </c>
    </row>
    <row r="18" spans="1:18">
      <c r="A18" t="s">
        <v>213</v>
      </c>
      <c r="B18" t="s">
        <v>214</v>
      </c>
      <c r="C18" t="s">
        <v>215</v>
      </c>
      <c r="D18" t="s">
        <v>216</v>
      </c>
      <c r="E18" t="s">
        <v>217</v>
      </c>
      <c r="F18" t="s">
        <v>63</v>
      </c>
      <c r="G18" t="s">
        <v>64</v>
      </c>
      <c r="H18" t="s">
        <v>218</v>
      </c>
      <c r="I18" t="s">
        <v>219</v>
      </c>
      <c r="J18" t="s">
        <v>220</v>
      </c>
      <c r="K18" t="s">
        <v>221</v>
      </c>
      <c r="L18" t="s">
        <v>222</v>
      </c>
      <c r="M18" t="s">
        <v>223</v>
      </c>
      <c r="N18" t="s">
        <v>224</v>
      </c>
      <c r="O18" t="s">
        <v>225</v>
      </c>
      <c r="P18" t="s">
        <v>226</v>
      </c>
      <c r="Q18" t="s">
        <v>227</v>
      </c>
    </row>
    <row r="19" spans="1:18">
      <c r="A19" t="str">
        <f ca="1">IF(INDEX(Recipe_Input36[Type of fertilizer],ROW()-ROW(Recipe_Calc31[#Headers]))="","(none selected)",INDEX(Recipe_Input36[Type of fertilizer],ROW()-ROW(Recipe_Calc31[#Headers])))</f>
        <v>12-4-16</v>
      </c>
      <c r="B19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125</v>
      </c>
      <c r="C19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19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2.125</v>
      </c>
      <c r="E19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122.875</v>
      </c>
      <c r="F19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18.125</v>
      </c>
      <c r="G19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138.375</v>
      </c>
      <c r="H19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72.875</v>
      </c>
      <c r="I19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20.875</v>
      </c>
      <c r="J19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19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0.21249999999999999</v>
      </c>
      <c r="L19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0.21249999999999999</v>
      </c>
      <c r="M19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1.5625</v>
      </c>
      <c r="N19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0.52500000000000002</v>
      </c>
      <c r="O19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1.2500000000000001E-2</v>
      </c>
      <c r="P19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0.36249999999999999</v>
      </c>
    </row>
    <row r="20" spans="1:18">
      <c r="A20" t="str">
        <f ca="1">IF(INDEX(Recipe_Input36[Type of fertilizer],ROW()-ROW(Recipe_Calc31[#Headers]))="","(none selected)",INDEX(Recipe_Input36[Type of fertilizer],ROW()-ROW(Recipe_Calc31[#Headers])))</f>
        <v>(none selected)</v>
      </c>
      <c r="B20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0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0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0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0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0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0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0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0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0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0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0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0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0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0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1" spans="1:18">
      <c r="A21" t="str">
        <f ca="1">IF(INDEX(Recipe_Input36[Type of fertilizer],ROW()-ROW(Recipe_Calc31[#Headers]))="","(none selected)",INDEX(Recipe_Input36[Type of fertilizer],ROW()-ROW(Recipe_Calc31[#Headers])))</f>
        <v>(none selected)</v>
      </c>
      <c r="B21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1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1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1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1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1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1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1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1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1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1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1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1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1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1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2" spans="1:18">
      <c r="A22" t="str">
        <f ca="1">IF(INDEX(Recipe_Input36[Type of fertilizer],ROW()-ROW(Recipe_Calc31[#Headers]))="","(none selected)",INDEX(Recipe_Input36[Type of fertilizer],ROW()-ROW(Recipe_Calc31[#Headers])))</f>
        <v>(none selected)</v>
      </c>
      <c r="B22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2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2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2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2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2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2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2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2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2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2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2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2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2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2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3" spans="1:18">
      <c r="A23" t="str">
        <f ca="1">IF(INDEX(Recipe_Input36[Type of fertilizer],ROW()-ROW(Recipe_Calc31[#Headers]))="","(none selected)",INDEX(Recipe_Input36[Type of fertilizer],ROW()-ROW(Recipe_Calc31[#Headers])))</f>
        <v>(none selected)</v>
      </c>
      <c r="B23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3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3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3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3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3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3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3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3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3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3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3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3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3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3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4" spans="1:18">
      <c r="A24" t="s">
        <v>228</v>
      </c>
      <c r="B24" cm="1">
        <f t="array" ref="B24">Water_Test[Nitrate-N]</f>
        <v>0</v>
      </c>
      <c r="C24" cm="1">
        <f t="array" ref="C24">Water_Test[Urea]</f>
        <v>0</v>
      </c>
      <c r="D24" cm="1">
        <f t="array" ref="D24">Water_Test[Ammonium-N]</f>
        <v>0</v>
      </c>
      <c r="E24" cm="1">
        <f t="array" ref="E24">Water_Test[Nitrate-N]</f>
        <v>0</v>
      </c>
      <c r="F24" cm="1">
        <f t="array" ref="F24">Water_Test[P]</f>
        <v>0</v>
      </c>
      <c r="G24" cm="1">
        <f t="array" ref="G24">Water_Test[K]</f>
        <v>0</v>
      </c>
      <c r="H24" cm="1">
        <f t="array" ref="H24">Water_Test[Ca]</f>
        <v>0</v>
      </c>
      <c r="I24" cm="1">
        <f t="array" ref="I24">Water_Test[Mg]</f>
        <v>0</v>
      </c>
      <c r="J24" t="e" cm="1">
        <f t="array" ref="J24">Water_Test[SO₄²⁻]*INDEX(Conversions[Value],MATCH("S per SO₄²⁻ (32.06 / 96.06)",Conversions[From],0))</f>
        <v>#N/A</v>
      </c>
      <c r="K24" cm="1">
        <f t="array" ref="K24">Water_Test[B]</f>
        <v>0</v>
      </c>
      <c r="L24" cm="1">
        <f t="array" ref="L24">Water_Test[Cu]</f>
        <v>0</v>
      </c>
      <c r="M24" cm="1">
        <f t="array" ref="M24">Water_Test[Fe]</f>
        <v>0</v>
      </c>
      <c r="N24" cm="1">
        <f t="array" ref="N24">Water_Test[Mn]</f>
        <v>0</v>
      </c>
      <c r="O24" cm="1">
        <f t="array" ref="O24">Water_Test[Mo]</f>
        <v>0</v>
      </c>
      <c r="P24" cm="1">
        <f t="array" ref="P24">Water_Test[Zn]</f>
        <v>0</v>
      </c>
    </row>
    <row r="25" spans="1:18">
      <c r="A25" t="s">
        <v>229</v>
      </c>
      <c r="B25">
        <f ca="1">SUM(INDEX(Recipe_Calc31[Total N],1):INDEX(Recipe_Calc31[Total N],6))</f>
        <v>125</v>
      </c>
      <c r="C25">
        <f ca="1">SUM(INDEX(Recipe_Calc31[Urea],1):INDEX(Recipe_Calc31[Urea],6))</f>
        <v>0</v>
      </c>
      <c r="D25">
        <f ca="1">SUM(INDEX(Recipe_Calc31[Ammonium-N],1):INDEX(Recipe_Calc31[Ammonium-N],6))</f>
        <v>2.125</v>
      </c>
      <c r="E25">
        <f ca="1">SUM(INDEX(Recipe_Calc31[Nitrate-N],1):INDEX(Recipe_Calc31[Nitrate-N],6))</f>
        <v>122.875</v>
      </c>
      <c r="F25">
        <f ca="1">SUM(INDEX(Recipe_Calc31[P],1):INDEX(Recipe_Calc31[P],6))</f>
        <v>18.125</v>
      </c>
      <c r="G25">
        <f ca="1">SUM(INDEX(Recipe_Calc31[K],1):INDEX(Recipe_Calc31[K],6))</f>
        <v>138.375</v>
      </c>
      <c r="H25">
        <f ca="1">SUM(INDEX(Recipe_Calc31[Ca],1):INDEX(Recipe_Calc31[Ca],6))</f>
        <v>72.875</v>
      </c>
      <c r="I25">
        <f ca="1">SUM(INDEX(Recipe_Calc31[Mg],1):INDEX(Recipe_Calc31[Mg],6))</f>
        <v>20.875</v>
      </c>
      <c r="J25" t="e">
        <f ca="1">SUM(INDEX(Recipe_Calc31[S],1):INDEX(Recipe_Calc31[S],6))</f>
        <v>#N/A</v>
      </c>
      <c r="K25">
        <f ca="1">SUM(INDEX(Recipe_Calc31[B],1):INDEX(Recipe_Calc31[B],6))</f>
        <v>0.21249999999999999</v>
      </c>
      <c r="L25">
        <f ca="1">SUM(INDEX(Recipe_Calc31[Cu],1):INDEX(Recipe_Calc31[Cu],6))</f>
        <v>0.21249999999999999</v>
      </c>
      <c r="M25">
        <f ca="1">SUM(INDEX(Recipe_Calc31[Fe],1):INDEX(Recipe_Calc31[Fe],6))</f>
        <v>1.5625</v>
      </c>
      <c r="N25">
        <f ca="1">SUM(INDEX(Recipe_Calc31[Mn],1):INDEX(Recipe_Calc31[Mn],6))</f>
        <v>0.52500000000000002</v>
      </c>
      <c r="O25">
        <f ca="1">SUM(INDEX(Recipe_Calc31[Mo],1):INDEX(Recipe_Calc31[Mo],6))</f>
        <v>1.2500000000000001E-2</v>
      </c>
      <c r="P25">
        <f ca="1">SUM(INDEX(Recipe_Calc31[Zn],1):INDEX(Recipe_Calc31[Zn],6))</f>
        <v>0.36249999999999999</v>
      </c>
      <c r="Q25">
        <f ca="1">IF(N(Recipe_Calc31[[#This Row],[Total N]])&gt;0,Recipe_Calc31[[#This Row],[K]]/Recipe_Calc31[[#This Row],[Total N]],"")</f>
        <v>1.107</v>
      </c>
      <c r="R25" t="s">
        <v>230</v>
      </c>
    </row>
    <row r="26" spans="1:18">
      <c r="A26" t="s">
        <v>231</v>
      </c>
      <c r="B26" cm="1">
        <f t="array" aca="1" ref="B26" ca="1">IF(Recipes_Crop37[Crop]="","",IFERROR(IF(SUMPRODUCT((Nutrients_1[For]=Recipes_Crop37[Crop])*(INDEX(Nutrients_1[#Data],0,MATCH(B$42,Nutrients_1[#Headers],0))&lt;&gt;""))=0,"",SUMPRODUCT((Nutrients_1[For]=Recipes_Crop37[Crop])*("0"&amp;INDEX(Nutrients_1[#Data],0,MATCH(B$42,Nutrients_1[#Headers],0))))/SUMPRODUCT((Nutrients_1[For]=Recipes_Crop37[Crop])*(INDEX(Nutrients_1[#Data],0,MATCH(B$42,Nutrients_1[#Headers],0))&lt;&gt;""))),""))</f>
        <v>170</v>
      </c>
      <c r="F26" cm="1">
        <f t="array" aca="1" ref="F26" ca="1">IF(Recipes_Crop37[Crop]="","",IFERROR(IF(SUMPRODUCT((Nutrients_1[For]=Recipes_Crop37[Crop])*(INDEX(Nutrients_1[#Data],0,MATCH(F$42,Nutrients_1[#Headers],0))&lt;&gt;""))=0,"",SUMPRODUCT((Nutrients_1[For]=Recipes_Crop37[Crop])*("0"&amp;INDEX(Nutrients_1[#Data],0,MATCH(F$42,Nutrients_1[#Headers],0))))/SUMPRODUCT((Nutrients_1[For]=Recipes_Crop37[Crop])*(INDEX(Nutrients_1[#Data],0,MATCH(F$42,Nutrients_1[#Headers],0))&lt;&gt;""))),""))</f>
        <v>41.56666666666667</v>
      </c>
      <c r="G26" cm="1">
        <f t="array" aca="1" ref="G26" ca="1">IF(Recipes_Crop37[Crop]="","",IFERROR(IF(SUMPRODUCT((Nutrients_1[For]=Recipes_Crop37[Crop])*(INDEX(Nutrients_1[#Data],0,MATCH(G$42,Nutrients_1[#Headers],0))&lt;&gt;""))=0,"",SUMPRODUCT((Nutrients_1[For]=Recipes_Crop37[Crop])*("0"&amp;INDEX(Nutrients_1[#Data],0,MATCH(G$42,Nutrients_1[#Headers],0))))/SUMPRODUCT((Nutrients_1[For]=Recipes_Crop37[Crop])*(INDEX(Nutrients_1[#Data],0,MATCH(G$42,Nutrients_1[#Headers],0))&lt;&gt;""))),""))</f>
        <v>248.93333333333331</v>
      </c>
      <c r="H26" cm="1">
        <f t="array" aca="1" ref="H26" ca="1">IF(Recipes_Crop37[Crop]="","",IFERROR(IF(SUMPRODUCT((Nutrients_1[For]=Recipes_Crop37[Crop])*(INDEX(Nutrients_1[#Data],0,MATCH(H$42,Nutrients_1[#Headers],0))&lt;&gt;""))=0,"",SUMPRODUCT((Nutrients_1[For]=Recipes_Crop37[Crop])*("0"&amp;INDEX(Nutrients_1[#Data],0,MATCH(H$42,Nutrients_1[#Headers],0))))/SUMPRODUCT((Nutrients_1[For]=Recipes_Crop37[Crop])*(INDEX(Nutrients_1[#Data],0,MATCH(H$42,Nutrients_1[#Headers],0))&lt;&gt;""))),""))</f>
        <v>127.39999999999999</v>
      </c>
      <c r="I26" cm="1">
        <f t="array" aca="1" ref="I26" ca="1">IF(Recipes_Crop37[Crop]="","",IFERROR(IF(SUMPRODUCT((Nutrients_1[For]=Recipes_Crop37[Crop])*(INDEX(Nutrients_1[#Data],0,MATCH(I$42,Nutrients_1[#Headers],0))&lt;&gt;""))=0,"",SUMPRODUCT((Nutrients_1[For]=Recipes_Crop37[Crop])*("0"&amp;INDEX(Nutrients_1[#Data],0,MATCH(I$42,Nutrients_1[#Headers],0))))/SUMPRODUCT((Nutrients_1[For]=Recipes_Crop37[Crop])*(INDEX(Nutrients_1[#Data],0,MATCH(I$42,Nutrients_1[#Headers],0))&lt;&gt;""))),""))</f>
        <v>40.733333333333334</v>
      </c>
      <c r="J26" cm="1">
        <f t="array" aca="1" ref="J26" ca="1">IF(Recipes_Crop37[Crop]="","",IFERROR(IF(SUMPRODUCT((Nutrients_1[For]=Recipes_Crop37[Crop])*(INDEX(Nutrients_1[#Data],0,MATCH(J$42,Nutrients_1[#Headers],0))&lt;&gt;""))=0,"",SUMPRODUCT((Nutrients_1[For]=Recipes_Crop37[Crop])*("0"&amp;INDEX(Nutrients_1[#Data],0,MATCH(J$42,Nutrients_1[#Headers],0))))/SUMPRODUCT((Nutrients_1[For]=Recipes_Crop37[Crop])*(INDEX(Nutrients_1[#Data],0,MATCH(J$42,Nutrients_1[#Headers],0))&lt;&gt;""))),""))</f>
        <v>58.6</v>
      </c>
      <c r="K26" cm="1">
        <f t="array" aca="1" ref="K26" ca="1">IF(Recipes_Crop37[Crop]="","",IFERROR(IF(SUMPRODUCT((Nutrients_1[For]=Recipes_Crop37[Crop])*(INDEX(Nutrients_1[#Data],0,MATCH(K$42,Nutrients_1[#Headers],0))&lt;&gt;""))=0,"",SUMPRODUCT((Nutrients_1[For]=Recipes_Crop37[Crop])*("0"&amp;INDEX(Nutrients_1[#Data],0,MATCH(K$42,Nutrients_1[#Headers],0))))/SUMPRODUCT((Nutrients_1[For]=Recipes_Crop37[Crop])*(INDEX(Nutrients_1[#Data],0,MATCH(K$42,Nutrients_1[#Headers],0))&lt;&gt;""))),""))</f>
        <v>0.35333333333333333</v>
      </c>
      <c r="L26" cm="1">
        <f t="array" aca="1" ref="L26" ca="1">IF(Recipes_Crop37[Crop]="","",IFERROR(IF(SUMPRODUCT((Nutrients_1[For]=Recipes_Crop37[Crop])*(INDEX(Nutrients_1[#Data],0,MATCH(L$42,Nutrients_1[#Headers],0))&lt;&gt;""))=0,"",SUMPRODUCT((Nutrients_1[For]=Recipes_Crop37[Crop])*("0"&amp;INDEX(Nutrients_1[#Data],0,MATCH(L$42,Nutrients_1[#Headers],0))))/SUMPRODUCT((Nutrients_1[For]=Recipes_Crop37[Crop])*(INDEX(Nutrients_1[#Data],0,MATCH(L$42,Nutrients_1[#Headers],0))&lt;&gt;""))),""))</f>
        <v>0.10766666666666667</v>
      </c>
      <c r="M26" cm="1">
        <f t="array" aca="1" ref="M26" ca="1">IF(Recipes_Crop37[Crop]="","",IFERROR(IF(SUMPRODUCT((Nutrients_1[For]=Recipes_Crop37[Crop])*(INDEX(Nutrients_1[#Data],0,MATCH(M$42,Nutrients_1[#Headers],0))&lt;&gt;""))=0,"",SUMPRODUCT((Nutrients_1[For]=Recipes_Crop37[Crop])*("0"&amp;INDEX(Nutrients_1[#Data],0,MATCH(M$42,Nutrients_1[#Headers],0))))/SUMPRODUCT((Nutrients_1[For]=Recipes_Crop37[Crop])*(INDEX(Nutrients_1[#Data],0,MATCH(M$42,Nutrients_1[#Headers],0))&lt;&gt;""))),""))</f>
        <v>2.5</v>
      </c>
      <c r="N26" cm="1">
        <f t="array" aca="1" ref="N26" ca="1">IF(Recipes_Crop37[Crop]="","",IFERROR(IF(SUMPRODUCT((Nutrients_1[For]=Recipes_Crop37[Crop])*(INDEX(Nutrients_1[#Data],0,MATCH(N$42,Nutrients_1[#Headers],0))&lt;&gt;""))=0,"",SUMPRODUCT((Nutrients_1[For]=Recipes_Crop37[Crop])*("0"&amp;INDEX(Nutrients_1[#Data],0,MATCH(N$42,Nutrients_1[#Headers],0))))/SUMPRODUCT((Nutrients_1[For]=Recipes_Crop37[Crop])*(INDEX(Nutrients_1[#Data],0,MATCH(N$42,Nutrients_1[#Headers],0))&lt;&gt;""))),""))</f>
        <v>0.41666666666666669</v>
      </c>
      <c r="O26" cm="1">
        <f t="array" aca="1" ref="O26" ca="1">IF(Recipes_Crop37[Crop]="","",IFERROR(IF(SUMPRODUCT((Nutrients_1[For]=Recipes_Crop37[Crop])*(INDEX(Nutrients_1[#Data],0,MATCH(O$42,Nutrients_1[#Headers],0))&lt;&gt;""))=0,"",SUMPRODUCT((Nutrients_1[For]=Recipes_Crop37[Crop])*("0"&amp;INDEX(Nutrients_1[#Data],0,MATCH(O$42,Nutrients_1[#Headers],0))))/SUMPRODUCT((Nutrients_1[For]=Recipes_Crop37[Crop])*(INDEX(Nutrients_1[#Data],0,MATCH(O$42,Nutrients_1[#Headers],0))&lt;&gt;""))),""))</f>
        <v>3.1333333333333331E-2</v>
      </c>
      <c r="P26" cm="1">
        <f t="array" aca="1" ref="P26" ca="1">IF(Recipes_Crop37[Crop]="","",IFERROR(IF(SUMPRODUCT((Nutrients_1[For]=Recipes_Crop37[Crop])*(INDEX(Nutrients_1[#Data],0,MATCH(P$42,Nutrients_1[#Headers],0))&lt;&gt;""))=0,"",SUMPRODUCT((Nutrients_1[For]=Recipes_Crop37[Crop])*("0"&amp;INDEX(Nutrients_1[#Data],0,MATCH(P$42,Nutrients_1[#Headers],0))))/SUMPRODUCT((Nutrients_1[For]=Recipes_Crop37[Crop])*(INDEX(Nutrients_1[#Data],0,MATCH(P$42,Nutrients_1[#Headers],0))&lt;&gt;""))),""))</f>
        <v>0.17666666666666667</v>
      </c>
      <c r="Q26">
        <f ca="1">IF(AND(ISNUMBER(Recipe_Calc31[[#This Row],[K]]),ISNUMBER(Recipe_Calc31[[#This Row],[Total N]])),IF(Recipe_Calc31[[#This Row],[Total N]]&gt;0,Recipe_Calc31[[#This Row],[K]]/Recipe_Calc31[[#This Row],[Total N]],""),"")</f>
        <v>1.4643137254901959</v>
      </c>
    </row>
    <row r="27" spans="1:18">
      <c r="A27" t="s">
        <v>232</v>
      </c>
      <c r="B27">
        <f ca="1">IF(AND(ISNUMBER(INDEX(Recipe_Calc31[Total N],8)),N(INDEX(Recipe_Calc31[Total N],8))&gt;0),INDEX(Recipe_Calc31[Total N],7)/INDEX(Recipe_Calc31[Total N],8)*100,"")</f>
        <v>73.529411764705884</v>
      </c>
      <c r="F27">
        <f ca="1">IF(AND(ISNUMBER(INDEX(Recipe_Calc31[P],8)),N(INDEX(Recipe_Calc31[P],8))&gt;0),INDEX(Recipe_Calc31[P],7)/INDEX(Recipe_Calc31[P],8)*100,"")</f>
        <v>43.604651162790695</v>
      </c>
      <c r="G27">
        <f ca="1">IF(AND(ISNUMBER(INDEX(Recipe_Calc31[K],8)),N(INDEX(Recipe_Calc31[K],8))&gt;0),INDEX(Recipe_Calc31[K],7)/INDEX(Recipe_Calc31[K],8)*100,"")</f>
        <v>55.587171933583292</v>
      </c>
      <c r="H27">
        <f ca="1">IF(AND(ISNUMBER(INDEX(Recipe_Calc31[Ca],8)),N(INDEX(Recipe_Calc31[Ca],8))&gt;0),INDEX(Recipe_Calc31[Ca],7)/INDEX(Recipe_Calc31[Ca],8)*100,"")</f>
        <v>57.201726844583987</v>
      </c>
      <c r="I27">
        <f ca="1">IF(AND(ISNUMBER(INDEX(Recipe_Calc31[Mg],8)),N(INDEX(Recipe_Calc31[Mg],8))&gt;0),INDEX(Recipe_Calc31[Mg],7)/INDEX(Recipe_Calc31[Mg],8)*100,"")</f>
        <v>51.247954173486086</v>
      </c>
      <c r="J27" t="e">
        <f ca="1">IF(AND(ISNUMBER(INDEX(Recipe_Calc31[S],8)),N(INDEX(Recipe_Calc31[S],8))&gt;0),INDEX(Recipe_Calc31[S],7)/INDEX(Recipe_Calc31[S],8)*100,"")</f>
        <v>#N/A</v>
      </c>
      <c r="K27">
        <f ca="1">IF(AND(ISNUMBER(INDEX(Recipe_Calc31[B],8)),N(INDEX(Recipe_Calc31[B],8))&gt;0),INDEX(Recipe_Calc31[B],7)/INDEX(Recipe_Calc31[B],8)*100,"")</f>
        <v>60.141509433962256</v>
      </c>
      <c r="L27">
        <f ca="1">IF(AND(ISNUMBER(INDEX(Recipe_Calc31[Cu],8)),N(INDEX(Recipe_Calc31[Cu],8))&gt;0),INDEX(Recipe_Calc31[Cu],7)/INDEX(Recipe_Calc31[Cu],8)*100,"")</f>
        <v>197.36842105263156</v>
      </c>
      <c r="M27">
        <f ca="1">IF(AND(ISNUMBER(INDEX(Recipe_Calc31[Fe],8)),N(INDEX(Recipe_Calc31[Fe],8))&gt;0),INDEX(Recipe_Calc31[Fe],7)/INDEX(Recipe_Calc31[Fe],8)*100,"")</f>
        <v>62.5</v>
      </c>
      <c r="N27">
        <f ca="1">IF(AND(ISNUMBER(INDEX(Recipe_Calc31[Mn],8)),N(INDEX(Recipe_Calc31[Mn],8))&gt;0),INDEX(Recipe_Calc31[Mn],7)/INDEX(Recipe_Calc31[Mn],8)*100,"")</f>
        <v>126</v>
      </c>
      <c r="O27">
        <f ca="1">IF(AND(ISNUMBER(INDEX(Recipe_Calc31[Mo],8)),N(INDEX(Recipe_Calc31[Mo],8))&gt;0),INDEX(Recipe_Calc31[Mo],7)/INDEX(Recipe_Calc31[Mo],8)*100,"")</f>
        <v>39.893617021276597</v>
      </c>
      <c r="P27">
        <f ca="1">IF(AND(ISNUMBER(INDEX(Recipe_Calc31[Zn],8)),N(INDEX(Recipe_Calc31[Zn],8))&gt;0),INDEX(Recipe_Calc31[Zn],7)/INDEX(Recipe_Calc31[Zn],8)*100,"")</f>
        <v>205.18867924528303</v>
      </c>
    </row>
    <row r="29" spans="1:18">
      <c r="A29" t="s">
        <v>233</v>
      </c>
    </row>
    <row r="30" spans="1:18">
      <c r="A30" t="s">
        <v>61</v>
      </c>
      <c r="B30" t="s">
        <v>234</v>
      </c>
      <c r="C30" t="s">
        <v>235</v>
      </c>
    </row>
    <row r="31" spans="1:18">
      <c r="A31" t="str">
        <f ca="1">IF(INDEX(Recipe_Input36[Type of fertilizer],ROW()-ROW(Recipe_Results32[#Headers]))="","",INDEX(Recipe_Input36[Type of fertilizer],ROW()-ROW(Recipe_Results32[#Headers])))</f>
        <v>12-4-16</v>
      </c>
      <c r="B31" cm="1">
        <f t="array" aca="1" ref="B31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>10.416666666666668</v>
      </c>
      <c r="C31" t="e">
        <f ca="1">IF(Recipe_Results32[[#This Row],[Grams in 10 liters]]="","",Recipe_Results32[[#This Row],[Grams in 10 liters]]*INDEX(Conversions[Value],MATCH("Liters per US gallon",Conversions[From],0))/INDEX(Conversions[Value],MATCH("Grams per ounce",Conversions[From],0)))</f>
        <v>#N/A</v>
      </c>
    </row>
    <row r="32" spans="1:18">
      <c r="A32" t="str">
        <f ca="1">IF(INDEX(Recipe_Input36[Type of fertilizer],ROW()-ROW(Recipe_Results32[#Headers]))="","",INDEX(Recipe_Input36[Type of fertilizer],ROW()-ROW(Recipe_Results32[#Headers])))</f>
        <v/>
      </c>
      <c r="B32" t="str" cm="1">
        <f t="array" aca="1" ref="B32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2" t="str">
        <f ca="1">IF(Recipe_Results32[[#This Row],[Grams in 10 liters]]="","",Recipe_Results32[[#This Row],[Grams in 10 liters]]*INDEX(Conversions[Value],MATCH("Liters per US gallon",Conversions[From],0))/INDEX(Conversions[Value],MATCH("Grams per ounce",Conversions[From],0)))</f>
        <v/>
      </c>
    </row>
    <row r="33" spans="1:16">
      <c r="A33" t="str">
        <f ca="1">IF(INDEX(Recipe_Input36[Type of fertilizer],ROW()-ROW(Recipe_Results32[#Headers]))="","",INDEX(Recipe_Input36[Type of fertilizer],ROW()-ROW(Recipe_Results32[#Headers])))</f>
        <v/>
      </c>
      <c r="B33" t="str" cm="1">
        <f t="array" aca="1" ref="B33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3" t="str">
        <f ca="1">IF(Recipe_Results32[[#This Row],[Grams in 10 liters]]="","",Recipe_Results32[[#This Row],[Grams in 10 liters]]*INDEX(Conversions[Value],MATCH("Liters per US gallon",Conversions[From],0))/INDEX(Conversions[Value],MATCH("Grams per ounce",Conversions[From],0)))</f>
        <v/>
      </c>
    </row>
    <row r="34" spans="1:16">
      <c r="A34" t="str">
        <f ca="1">IF(INDEX(Recipe_Input36[Type of fertilizer],ROW()-ROW(Recipe_Results32[#Headers]))="","",INDEX(Recipe_Input36[Type of fertilizer],ROW()-ROW(Recipe_Results32[#Headers])))</f>
        <v/>
      </c>
      <c r="B34" t="str" cm="1">
        <f t="array" aca="1" ref="B34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4" t="str">
        <f ca="1">IF(Recipe_Results32[[#This Row],[Grams in 10 liters]]="","",Recipe_Results32[[#This Row],[Grams in 10 liters]]*INDEX(Conversions[Value],MATCH("Liters per US gallon",Conversions[From],0))/INDEX(Conversions[Value],MATCH("Grams per ounce",Conversions[From],0)))</f>
        <v/>
      </c>
    </row>
    <row r="35" spans="1:16">
      <c r="A35" t="str">
        <f ca="1">IF(INDEX(Recipe_Input36[Type of fertilizer],ROW()-ROW(Recipe_Results32[#Headers]))="","",INDEX(Recipe_Input36[Type of fertilizer],ROW()-ROW(Recipe_Results32[#Headers])))</f>
        <v/>
      </c>
      <c r="B35" t="str" cm="1">
        <f t="array" aca="1" ref="B35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5" t="str">
        <f ca="1">IF(Recipe_Results32[[#This Row],[Grams in 10 liters]]="","",Recipe_Results32[[#This Row],[Grams in 10 liters]]*INDEX(Conversions[Value],MATCH("Liters per US gallon",Conversions[From],0))/INDEX(Conversions[Value],MATCH("Grams per ounce",Conversions[From],0)))</f>
        <v/>
      </c>
    </row>
    <row r="40" spans="1:16">
      <c r="A40" t="s">
        <v>236</v>
      </c>
    </row>
    <row r="41" spans="1:16">
      <c r="A41" t="s">
        <v>237</v>
      </c>
      <c r="B41" t="s">
        <v>65</v>
      </c>
      <c r="C41" t="s">
        <v>68</v>
      </c>
      <c r="D41" t="s">
        <v>67</v>
      </c>
      <c r="E41" t="s">
        <v>66</v>
      </c>
      <c r="F41" t="s">
        <v>69</v>
      </c>
      <c r="G41" t="s">
        <v>71</v>
      </c>
      <c r="H41" t="s">
        <v>73</v>
      </c>
      <c r="I41" t="s">
        <v>74</v>
      </c>
      <c r="J41" t="s">
        <v>75</v>
      </c>
      <c r="K41" t="s">
        <v>76</v>
      </c>
      <c r="L41" t="s">
        <v>77</v>
      </c>
      <c r="M41" t="s">
        <v>78</v>
      </c>
      <c r="N41" t="s">
        <v>79</v>
      </c>
      <c r="O41" t="s">
        <v>80</v>
      </c>
      <c r="P41" t="s">
        <v>81</v>
      </c>
    </row>
    <row r="42" spans="1:16">
      <c r="A42" t="s">
        <v>238</v>
      </c>
      <c r="B42" t="s">
        <v>102</v>
      </c>
      <c r="F42" t="s">
        <v>104</v>
      </c>
      <c r="G42" t="s">
        <v>106</v>
      </c>
      <c r="H42" t="s">
        <v>108</v>
      </c>
      <c r="I42" t="s">
        <v>110</v>
      </c>
      <c r="J42" t="s">
        <v>28</v>
      </c>
      <c r="K42" t="s">
        <v>119</v>
      </c>
      <c r="L42" t="s">
        <v>121</v>
      </c>
      <c r="M42" t="s">
        <v>113</v>
      </c>
      <c r="N42" t="s">
        <v>115</v>
      </c>
      <c r="O42" t="s">
        <v>123</v>
      </c>
      <c r="P42" t="s">
        <v>117</v>
      </c>
    </row>
    <row r="44" spans="1:16">
      <c r="A44" t="s">
        <v>239</v>
      </c>
    </row>
    <row r="45" spans="1:16">
      <c r="A45" t="s">
        <v>240</v>
      </c>
    </row>
    <row r="46" spans="1:16">
      <c r="A46" t="s">
        <v>241</v>
      </c>
    </row>
  </sheetData>
  <dataValidations count="4">
    <dataValidation type="decimal" operator="greaterThanOrEqual" allowBlank="1" showErrorMessage="1" errorTitle="Amount" error="Enter an amount of 0 grams or more." sqref="E11:F15" xr:uid="{D8FFBBAD-92AA-41F6-AFEB-B2F11C8415CB}">
      <formula1>0</formula1>
    </dataValidation>
    <dataValidation allowBlank="1" showInputMessage="1" showErrorMessage="1" sqref="D7" xr:uid="{89C4D78A-3833-42F5-91AF-1A6F43727D46}"/>
    <dataValidation type="list" allowBlank="1" showInputMessage="1" showErrorMessage="1" sqref="A11" xr:uid="{1512ABE7-3750-4CB1-9792-802610C891FE}">
      <formula1>Calc_Fertilizers</formula1>
    </dataValidation>
    <dataValidation type="list" allowBlank="1" showInputMessage="1" showErrorMessage="1" sqref="A7" xr:uid="{33AC2791-8009-4D58-84B3-C2151ADBE47F}">
      <formula1>Calc_Crops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E6FB-8087-4AC7-9730-8CD50F5AC2F4}">
  <dimension ref="A1:Q31"/>
  <sheetViews>
    <sheetView topLeftCell="A15" workbookViewId="0">
      <selection activeCell="E33" sqref="E33"/>
    </sheetView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8.140625" customWidth="1"/>
    <col min="6" max="6" width="17.7109375" customWidth="1"/>
    <col min="7" max="7" width="18.42578125" customWidth="1"/>
    <col min="17" max="17" width="11.42578125" bestFit="1" customWidth="1"/>
    <col min="19" max="19" width="11.42578125" bestFit="1" customWidth="1"/>
  </cols>
  <sheetData>
    <row r="1" spans="1:7">
      <c r="A1" t="s">
        <v>194</v>
      </c>
    </row>
    <row r="2" spans="1:7">
      <c r="A2" t="s">
        <v>242</v>
      </c>
    </row>
    <row r="4" spans="1:7">
      <c r="A4" t="s">
        <v>239</v>
      </c>
    </row>
    <row r="5" spans="1:7">
      <c r="A5" t="s">
        <v>240</v>
      </c>
    </row>
    <row r="6" spans="1:7">
      <c r="A6" t="s">
        <v>241</v>
      </c>
    </row>
    <row r="10" spans="1:7">
      <c r="A10" t="s">
        <v>201</v>
      </c>
      <c r="B10" t="s">
        <v>202</v>
      </c>
      <c r="C10" t="s">
        <v>98</v>
      </c>
      <c r="D10" t="s">
        <v>100</v>
      </c>
    </row>
    <row r="11" spans="1:7">
      <c r="A11" t="s">
        <v>145</v>
      </c>
      <c r="B11">
        <v>1.7</v>
      </c>
      <c r="C11">
        <f ca="1">IF(Recipes_Crop[[#This Row],[Crop]]="","",IFERROR(IF(ISNUMBER(INDEX(Nutrients_2[C:pH (min)],MATCH(Recipes_Crop[[#This Row],[Crop]],Nutrients_2[For],0))),INDEX(Nutrients_2[C:pH (min)],MATCH(Recipes_Crop[[#This Row],[Crop]],Nutrients_2[For],0)),""),""))</f>
        <v>5.8</v>
      </c>
      <c r="D11">
        <f ca="1">IF(Recipes_Crop[[#This Row],[Crop]]="","",IFERROR(IF(ISNUMBER(INDEX(Nutrients_2[C:pH (max)],MATCH(Recipes_Crop[[#This Row],[Crop]],Nutrients_2[For],0))),INDEX(Nutrients_2[C:pH (max)],MATCH(Recipes_Crop[[#This Row],[Crop]],Nutrients_2[For],0)),""),""))</f>
        <v>6.2</v>
      </c>
    </row>
    <row r="13" spans="1:7">
      <c r="A13" t="s">
        <v>205</v>
      </c>
    </row>
    <row r="14" spans="1:7">
      <c r="A14" t="s">
        <v>61</v>
      </c>
      <c r="B14" t="s">
        <v>190</v>
      </c>
      <c r="C14" t="s">
        <v>207</v>
      </c>
      <c r="D14" t="s">
        <v>208</v>
      </c>
      <c r="E14" t="s">
        <v>243</v>
      </c>
      <c r="F14" t="s">
        <v>210</v>
      </c>
      <c r="G14" t="s">
        <v>211</v>
      </c>
    </row>
    <row r="15" spans="1:7">
      <c r="A15" t="s">
        <v>82</v>
      </c>
      <c r="B15">
        <v>125</v>
      </c>
      <c r="E15" cm="1">
        <f t="array" aca="1" ref="E15" ca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f>
        <v>1.7708333333333335</v>
      </c>
      <c r="F15" cm="1">
        <f t="array" aca="1" ref="F15" ca="1">IF(OR(Recipe_Input[[#This Row],[Fertilizer]]="",Recipe_Input[[#This Row],[Amount (g)]]=""),"",IFERROR(Recipe_Input[[#This Row],[Amount (g)]]*1000/Recipes_Crop[Nutrient Volume (L)],""))</f>
        <v>1041.6666666666667</v>
      </c>
      <c r="G15" cm="1">
        <f t="array" aca="1" ref="G15" ca="1">IFERROR(IF(Recipe_Input[[#This Row],[Fertilizer]]="",0,VALUE(INDEX(Fertilizers[N],MATCH(Recipe_Input[[#This Row],[Fertilizer]],Fertilizers[Fertilizer],0)))*N(Recipe_Input[[#This Row],[Amount (g)]])*10/Recipes_Crop[Nutrient Volume (L)]),0)</f>
        <v>125</v>
      </c>
    </row>
    <row r="16" spans="1:7">
      <c r="E16" t="str" cm="1">
        <f t="array" aca="1" ref="E16" ca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f>
        <v/>
      </c>
      <c r="F16" t="str" cm="1">
        <f t="array" aca="1" ref="F16" ca="1">IF(OR(Recipe_Input[[#This Row],[Fertilizer]]="",Recipe_Input[[#This Row],[Amount (g)]]=""),"",IFERROR(Recipe_Input[[#This Row],[Amount (g)]]*1000/Recipes_Crop[Nutrient Volume (L)],""))</f>
        <v/>
      </c>
      <c r="G16" cm="1">
        <f t="array" aca="1" ref="G16" ca="1">IFERROR(IF(Recipe_Input[[#This Row],[Fertilizer]]="",0,VALUE(INDEX(Fertilizers[N],MATCH(Recipe_Input[[#This Row],[Fertilizer]],Fertilizers[Fertilizer],0)))*N(Recipe_Input[[#This Row],[Amount (g)]])*10/Recipes_Crop[Nutrient Volume (L)]),0)</f>
        <v>0</v>
      </c>
    </row>
    <row r="17" spans="1:17">
      <c r="E17" t="str" cm="1">
        <f t="array" aca="1" ref="E17" ca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f>
        <v/>
      </c>
      <c r="F17" t="str" cm="1">
        <f t="array" aca="1" ref="F17" ca="1">IF(OR(Recipe_Input[[#This Row],[Fertilizer]]="",Recipe_Input[[#This Row],[Amount (g)]]=""),"",IFERROR(Recipe_Input[[#This Row],[Amount (g)]]*1000/Recipes_Crop[Nutrient Volume (L)],""))</f>
        <v/>
      </c>
      <c r="G17" cm="1">
        <f t="array" aca="1" ref="G17" ca="1">IFERROR(IF(Recipe_Input[[#This Row],[Fertilizer]]="",0,VALUE(INDEX(Fertilizers[N],MATCH(Recipe_Input[[#This Row],[Fertilizer]],Fertilizers[Fertilizer],0)))*N(Recipe_Input[[#This Row],[Amount (g)]])*10/Recipes_Crop[Nutrient Volume (L)]),0)</f>
        <v>0</v>
      </c>
    </row>
    <row r="18" spans="1:17">
      <c r="E18" t="str" cm="1">
        <f t="array" aca="1" ref="E18" ca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f>
        <v/>
      </c>
      <c r="F18" t="str" cm="1">
        <f t="array" aca="1" ref="F18" ca="1">IF(OR(Recipe_Input[[#This Row],[Fertilizer]]="",Recipe_Input[[#This Row],[Amount (g)]]=""),"",IFERROR(Recipe_Input[[#This Row],[Amount (g)]]*1000/Recipes_Crop[Nutrient Volume (L)],""))</f>
        <v/>
      </c>
      <c r="G18" cm="1">
        <f t="array" aca="1" ref="G18" ca="1">IFERROR(IF(Recipe_Input[[#This Row],[Fertilizer]]="",0,VALUE(INDEX(Fertilizers[N],MATCH(Recipe_Input[[#This Row],[Fertilizer]],Fertilizers[Fertilizer],0)))*N(Recipe_Input[[#This Row],[Amount (g)]])*10/Recipes_Crop[Nutrient Volume (L)]),0)</f>
        <v>0</v>
      </c>
    </row>
    <row r="19" spans="1:17">
      <c r="E19" t="str" cm="1">
        <f t="array" aca="1" ref="E19" ca="1">IF(Recipe_Input[[#This Row],[Fertilizer]]="","",
 IFERROR(
  MAX(
   IF(N(Recipe_Input[[#This Row],[Target PPM N]])=0,0,
      Recipe_Input[[#This Row],[Target PPM N]]/(VALUE(INDEX(Fertilizers[N],MATCH(Recipe_Input[[#This Row],[Fertilizer]],Fertilizers[Fertilizer],0)))/100)),
   IF(N(Recipe_Input[[#This Row],[Target PPM P]])=0,0,
      Recipe_Input[[#This Row],[Target PPM P]]/(VALUE(INDEX(Fertilizers[P],MATCH(Recipe_Input[[#This Row],[Fertilizer]],Fertilizers[Fertilizer],0)))/100)),
   IF(N(Recipe_Input[[#This Row],[Target PPM K]])=0,0,
      Recipe_Input[[#This Row],[Target PPM K]]/(VALUE(INDEX(Fertilizers[K],MATCH(Recipe_Input[[#This Row],[Fertilizer]],Fertilizers[Fertilizer],0)))/100))
  )/1000*Recipes_Crop[Nutrient Volume (L)],
 "")
)</f>
        <v/>
      </c>
      <c r="F19" t="str" cm="1">
        <f t="array" aca="1" ref="F19" ca="1">IF(OR(Recipe_Input[[#This Row],[Fertilizer]]="",Recipe_Input[[#This Row],[Amount (g)]]=""),"",IFERROR(Recipe_Input[[#This Row],[Amount (g)]]*1000/Recipes_Crop[Nutrient Volume (L)],""))</f>
        <v/>
      </c>
      <c r="G19" cm="1">
        <f t="array" aca="1" ref="G19" ca="1">IFERROR(IF(Recipe_Input[[#This Row],[Fertilizer]]="",0,VALUE(INDEX(Fertilizers[N],MATCH(Recipe_Input[[#This Row],[Fertilizer]],Fertilizers[Fertilizer],0)))*N(Recipe_Input[[#This Row],[Amount (g)]])*10/Recipes_Crop[Nutrient Volume (L)]),0)</f>
        <v>0</v>
      </c>
    </row>
    <row r="21" spans="1:17">
      <c r="A21" t="s">
        <v>212</v>
      </c>
    </row>
    <row r="22" spans="1:17">
      <c r="A22" t="s">
        <v>244</v>
      </c>
      <c r="B22" t="s">
        <v>214</v>
      </c>
      <c r="C22" t="s">
        <v>215</v>
      </c>
      <c r="D22" t="s">
        <v>216</v>
      </c>
      <c r="E22" t="s">
        <v>217</v>
      </c>
      <c r="F22" t="s">
        <v>63</v>
      </c>
      <c r="G22" t="s">
        <v>64</v>
      </c>
      <c r="H22" t="s">
        <v>218</v>
      </c>
      <c r="I22" t="s">
        <v>219</v>
      </c>
      <c r="J22" t="s">
        <v>220</v>
      </c>
      <c r="K22" t="s">
        <v>221</v>
      </c>
      <c r="L22" t="s">
        <v>222</v>
      </c>
      <c r="M22" t="s">
        <v>223</v>
      </c>
      <c r="N22" t="s">
        <v>224</v>
      </c>
      <c r="O22" t="s">
        <v>225</v>
      </c>
      <c r="P22" t="s">
        <v>226</v>
      </c>
      <c r="Q22" t="s">
        <v>227</v>
      </c>
    </row>
    <row r="23" spans="1:17">
      <c r="A23" t="str">
        <f ca="1">IF(INDEX(Recipe_Input[Fertilizer],ROW()-ROW(Recipe_Calc[#Headers]))="","(none selected)",INDEX(Recipe_Input[Fertilizer],ROW()-ROW(Recipe_Calc[#Headers])))</f>
        <v>12-4-16</v>
      </c>
      <c r="B23">
        <f ca="1">SUMIFS(Recipe_Input[N supplied (ppm)],Recipe_Input[Fertilizer],Recipe_Calc[[#This Row],[Nutrient Concentration (ppm)]])*SUMIFS(Fertilizers[Total Nitrogen (N)],Fertilizers[Fertilizer],Recipe_Calc[[#This Row],[Nutrient Concentration (ppm)]])/100</f>
        <v>125</v>
      </c>
      <c r="C23">
        <f ca="1">SUMIFS(Recipe_Input[N supplied (ppm)],Recipe_Input[Fertilizer],Recipe_Calc[[#This Row],[Nutrient Concentration (ppm)]])*SUMIFS(Fertilizers[Urea - N],Fertilizers[Fertilizer],Recipe_Calc[[#This Row],[Nutrient Concentration (ppm)]])/100</f>
        <v>0</v>
      </c>
      <c r="D23">
        <f ca="1">SUMIFS(Recipe_Input[N supplied (ppm)],Recipe_Input[Fertilizer],Recipe_Calc[[#This Row],[Nutrient Concentration (ppm)]])*SUMIFS(Fertilizers[Ammonium - N (NH₄)],Fertilizers[Fertilizer],Recipe_Calc[[#This Row],[Nutrient Concentration (ppm)]])/100</f>
        <v>2.125</v>
      </c>
      <c r="E23">
        <f ca="1">SUMIFS(Recipe_Input[N supplied (ppm)],Recipe_Input[Fertilizer],Recipe_Calc[[#This Row],[Nutrient Concentration (ppm)]])*SUMIFS(Fertilizers[Nitrate - N (NO₃)],Fertilizers[Fertilizer],Recipe_Calc[[#This Row],[Nutrient Concentration (ppm)]])/100</f>
        <v>122.875</v>
      </c>
      <c r="F23">
        <f ca="1">SUMIFS(Recipe_Input[N supplied (ppm)],Recipe_Input[Fertilizer],Recipe_Calc[[#This Row],[Nutrient Concentration (ppm)]])*SUMIFS(Fertilizers[Phosphorus (P)],Fertilizers[Fertilizer],Recipe_Calc[[#This Row],[Nutrient Concentration (ppm)]])/100</f>
        <v>18.125</v>
      </c>
      <c r="G23">
        <f ca="1">SUMIFS(Recipe_Input[N supplied (ppm)],Recipe_Input[Fertilizer],Recipe_Calc[[#This Row],[Nutrient Concentration (ppm)]])*SUMIFS(Fertilizers[Potassium (K)],Fertilizers[Fertilizer],Recipe_Calc[[#This Row],[Nutrient Concentration (ppm)]])/100</f>
        <v>138.375</v>
      </c>
      <c r="H23">
        <f ca="1">SUMIFS(Recipe_Input[N supplied (ppm)],Recipe_Input[Fertilizer],Recipe_Calc[[#This Row],[Nutrient Concentration (ppm)]])*SUMIFS(Fertilizers[Calcium (Ca)],Fertilizers[Fertilizer],Recipe_Calc[[#This Row],[Nutrient Concentration (ppm)]])/100</f>
        <v>72.875</v>
      </c>
      <c r="I23">
        <f ca="1">SUMIFS(Recipe_Input[N supplied (ppm)],Recipe_Input[Fertilizer],Recipe_Calc[[#This Row],[Nutrient Concentration (ppm)]])*SUMIFS(Fertilizers[Magnesium (Mg)],Fertilizers[Fertilizer],Recipe_Calc[[#This Row],[Nutrient Concentration (ppm)]])/100</f>
        <v>20.875</v>
      </c>
      <c r="J23">
        <f ca="1">SUMIFS(Recipe_Input[N supplied (ppm)],Recipe_Input[Fertilizer],Recipe_Calc[[#This Row],[Nutrient Concentration (ppm)]])*SUMIFS(Fertilizers[Sulfur (S)],Fertilizers[Fertilizer],Recipe_Calc[[#This Row],[Nutrient Concentration (ppm)]])/100</f>
        <v>0</v>
      </c>
      <c r="K23">
        <f ca="1">SUMIFS(Recipe_Input[N supplied (ppm)],Recipe_Input[Fertilizer],Recipe_Calc[[#This Row],[Nutrient Concentration (ppm)]])*SUMIFS(Fertilizers[Boron (B)],Fertilizers[Fertilizer],Recipe_Calc[[#This Row],[Nutrient Concentration (ppm)]])/100</f>
        <v>0.21249999999999999</v>
      </c>
      <c r="L23">
        <f ca="1">SUMIFS(Recipe_Input[N supplied (ppm)],Recipe_Input[Fertilizer],Recipe_Calc[[#This Row],[Nutrient Concentration (ppm)]])*SUMIFS(Fertilizers[Copper (Cu)],Fertilizers[Fertilizer],Recipe_Calc[[#This Row],[Nutrient Concentration (ppm)]])/100</f>
        <v>0.21249999999999999</v>
      </c>
      <c r="M23">
        <f ca="1">SUMIFS(Recipe_Input[N supplied (ppm)],Recipe_Input[Fertilizer],Recipe_Calc[[#This Row],[Nutrient Concentration (ppm)]])*SUMIFS(Fertilizers[Iron (Fe)],Fertilizers[Fertilizer],Recipe_Calc[[#This Row],[Nutrient Concentration (ppm)]])/100</f>
        <v>1.5625</v>
      </c>
      <c r="N23">
        <f ca="1">SUMIFS(Recipe_Input[N supplied (ppm)],Recipe_Input[Fertilizer],Recipe_Calc[[#This Row],[Nutrient Concentration (ppm)]])*SUMIFS(Fertilizers[Manganese (Mn)],Fertilizers[Fertilizer],Recipe_Calc[[#This Row],[Nutrient Concentration (ppm)]])/100</f>
        <v>0.52500000000000002</v>
      </c>
      <c r="O23">
        <f ca="1">SUMIFS(Recipe_Input[N supplied (ppm)],Recipe_Input[Fertilizer],Recipe_Calc[[#This Row],[Nutrient Concentration (ppm)]])*SUMIFS(Fertilizers[Molybdenum (Mo)],Fertilizers[Fertilizer],Recipe_Calc[[#This Row],[Nutrient Concentration (ppm)]])/100</f>
        <v>1.2500000000000001E-2</v>
      </c>
      <c r="P23">
        <f ca="1">SUMIFS(Recipe_Input[N supplied (ppm)],Recipe_Input[Fertilizer],Recipe_Calc[[#This Row],[Nutrient Concentration (ppm)]])*SUMIFS(Fertilizers[Zinc (Zn)],Fertilizers[Fertilizer],Recipe_Calc[[#This Row],[Nutrient Concentration (ppm)]])/100</f>
        <v>0.36249999999999999</v>
      </c>
    </row>
    <row r="24" spans="1:17">
      <c r="A24" t="str">
        <f ca="1">IF(INDEX(Recipe_Input[Fertilizer],ROW()-ROW(Recipe_Calc[#Headers]))="","(none selected)",INDEX(Recipe_Input[Fertilizer],ROW()-ROW(Recipe_Calc[#Headers])))</f>
        <v>(none selected)</v>
      </c>
      <c r="B24">
        <f ca="1">SUMIFS(Recipe_Input[N supplied (ppm)],Recipe_Input[Fertilizer],Recipe_Calc[[#This Row],[Nutrient Concentration (ppm)]])*SUMIFS(Fertilizers[Total Nitrogen (N)],Fertilizers[Fertilizer],Recipe_Calc[[#This Row],[Nutrient Concentration (ppm)]])/100</f>
        <v>0</v>
      </c>
      <c r="C24">
        <f ca="1">SUMIFS(Recipe_Input[N supplied (ppm)],Recipe_Input[Fertilizer],Recipe_Calc[[#This Row],[Nutrient Concentration (ppm)]])*SUMIFS(Fertilizers[Urea - N],Fertilizers[Fertilizer],Recipe_Calc[[#This Row],[Nutrient Concentration (ppm)]])/100</f>
        <v>0</v>
      </c>
      <c r="D24">
        <f ca="1">SUMIFS(Recipe_Input[N supplied (ppm)],Recipe_Input[Fertilizer],Recipe_Calc[[#This Row],[Nutrient Concentration (ppm)]])*SUMIFS(Fertilizers[Ammonium - N (NH₄)],Fertilizers[Fertilizer],Recipe_Calc[[#This Row],[Nutrient Concentration (ppm)]])/100</f>
        <v>0</v>
      </c>
      <c r="E24">
        <f ca="1">SUMIFS(Recipe_Input[N supplied (ppm)],Recipe_Input[Fertilizer],Recipe_Calc[[#This Row],[Nutrient Concentration (ppm)]])*SUMIFS(Fertilizers[Nitrate - N (NO₃)],Fertilizers[Fertilizer],Recipe_Calc[[#This Row],[Nutrient Concentration (ppm)]])/100</f>
        <v>0</v>
      </c>
      <c r="F24">
        <f ca="1">SUMIFS(Recipe_Input[N supplied (ppm)],Recipe_Input[Fertilizer],Recipe_Calc[[#This Row],[Nutrient Concentration (ppm)]])*SUMIFS(Fertilizers[Phosphorus (P)],Fertilizers[Fertilizer],Recipe_Calc[[#This Row],[Nutrient Concentration (ppm)]])/100</f>
        <v>0</v>
      </c>
      <c r="G24">
        <f ca="1">SUMIFS(Recipe_Input[N supplied (ppm)],Recipe_Input[Fertilizer],Recipe_Calc[[#This Row],[Nutrient Concentration (ppm)]])*SUMIFS(Fertilizers[Potassium (K)],Fertilizers[Fertilizer],Recipe_Calc[[#This Row],[Nutrient Concentration (ppm)]])/100</f>
        <v>0</v>
      </c>
      <c r="H24">
        <f ca="1">SUMIFS(Recipe_Input[N supplied (ppm)],Recipe_Input[Fertilizer],Recipe_Calc[[#This Row],[Nutrient Concentration (ppm)]])*SUMIFS(Fertilizers[Calcium (Ca)],Fertilizers[Fertilizer],Recipe_Calc[[#This Row],[Nutrient Concentration (ppm)]])/100</f>
        <v>0</v>
      </c>
      <c r="I24">
        <f ca="1">SUMIFS(Recipe_Input[N supplied (ppm)],Recipe_Input[Fertilizer],Recipe_Calc[[#This Row],[Nutrient Concentration (ppm)]])*SUMIFS(Fertilizers[Magnesium (Mg)],Fertilizers[Fertilizer],Recipe_Calc[[#This Row],[Nutrient Concentration (ppm)]])/100</f>
        <v>0</v>
      </c>
      <c r="J24">
        <f ca="1">SUMIFS(Recipe_Input[N supplied (ppm)],Recipe_Input[Fertilizer],Recipe_Calc[[#This Row],[Nutrient Concentration (ppm)]])*SUMIFS(Fertilizers[Sulfur (S)],Fertilizers[Fertilizer],Recipe_Calc[[#This Row],[Nutrient Concentration (ppm)]])/100</f>
        <v>0</v>
      </c>
      <c r="K24">
        <f ca="1">SUMIFS(Recipe_Input[N supplied (ppm)],Recipe_Input[Fertilizer],Recipe_Calc[[#This Row],[Nutrient Concentration (ppm)]])*SUMIFS(Fertilizers[Boron (B)],Fertilizers[Fertilizer],Recipe_Calc[[#This Row],[Nutrient Concentration (ppm)]])/100</f>
        <v>0</v>
      </c>
      <c r="L24">
        <f ca="1">SUMIFS(Recipe_Input[N supplied (ppm)],Recipe_Input[Fertilizer],Recipe_Calc[[#This Row],[Nutrient Concentration (ppm)]])*SUMIFS(Fertilizers[Copper (Cu)],Fertilizers[Fertilizer],Recipe_Calc[[#This Row],[Nutrient Concentration (ppm)]])/100</f>
        <v>0</v>
      </c>
      <c r="M24">
        <f ca="1">SUMIFS(Recipe_Input[N supplied (ppm)],Recipe_Input[Fertilizer],Recipe_Calc[[#This Row],[Nutrient Concentration (ppm)]])*SUMIFS(Fertilizers[Iron (Fe)],Fertilizers[Fertilizer],Recipe_Calc[[#This Row],[Nutrient Concentration (ppm)]])/100</f>
        <v>0</v>
      </c>
      <c r="N24">
        <f ca="1">SUMIFS(Recipe_Input[N supplied (ppm)],Recipe_Input[Fertilizer],Recipe_Calc[[#This Row],[Nutrient Concentration (ppm)]])*SUMIFS(Fertilizers[Manganese (Mn)],Fertilizers[Fertilizer],Recipe_Calc[[#This Row],[Nutrient Concentration (ppm)]])/100</f>
        <v>0</v>
      </c>
      <c r="O24">
        <f ca="1">SUMIFS(Recipe_Input[N supplied (ppm)],Recipe_Input[Fertilizer],Recipe_Calc[[#This Row],[Nutrient Concentration (ppm)]])*SUMIFS(Fertilizers[Molybdenum (Mo)],Fertilizers[Fertilizer],Recipe_Calc[[#This Row],[Nutrient Concentration (ppm)]])/100</f>
        <v>0</v>
      </c>
      <c r="P24">
        <f ca="1">SUMIFS(Recipe_Input[N supplied (ppm)],Recipe_Input[Fertilizer],Recipe_Calc[[#This Row],[Nutrient Concentration (ppm)]])*SUMIFS(Fertilizers[Zinc (Zn)],Fertilizers[Fertilizer],Recipe_Calc[[#This Row],[Nutrient Concentration (ppm)]])/100</f>
        <v>0</v>
      </c>
    </row>
    <row r="25" spans="1:17">
      <c r="A25" t="str">
        <f ca="1">IF(INDEX(Recipe_Input[Fertilizer],ROW()-ROW(Recipe_Calc[#Headers]))="","(none selected)",INDEX(Recipe_Input[Fertilizer],ROW()-ROW(Recipe_Calc[#Headers])))</f>
        <v>(none selected)</v>
      </c>
      <c r="B25">
        <f ca="1">SUMIFS(Recipe_Input[N supplied (ppm)],Recipe_Input[Fertilizer],Recipe_Calc[[#This Row],[Nutrient Concentration (ppm)]])*SUMIFS(Fertilizers[Total Nitrogen (N)],Fertilizers[Fertilizer],Recipe_Calc[[#This Row],[Nutrient Concentration (ppm)]])/100</f>
        <v>0</v>
      </c>
      <c r="C25">
        <f ca="1">SUMIFS(Recipe_Input[N supplied (ppm)],Recipe_Input[Fertilizer],Recipe_Calc[[#This Row],[Nutrient Concentration (ppm)]])*SUMIFS(Fertilizers[Urea - N],Fertilizers[Fertilizer],Recipe_Calc[[#This Row],[Nutrient Concentration (ppm)]])/100</f>
        <v>0</v>
      </c>
      <c r="D25">
        <f ca="1">SUMIFS(Recipe_Input[N supplied (ppm)],Recipe_Input[Fertilizer],Recipe_Calc[[#This Row],[Nutrient Concentration (ppm)]])*SUMIFS(Fertilizers[Ammonium - N (NH₄)],Fertilizers[Fertilizer],Recipe_Calc[[#This Row],[Nutrient Concentration (ppm)]])/100</f>
        <v>0</v>
      </c>
      <c r="E25">
        <f ca="1">SUMIFS(Recipe_Input[N supplied (ppm)],Recipe_Input[Fertilizer],Recipe_Calc[[#This Row],[Nutrient Concentration (ppm)]])*SUMIFS(Fertilizers[Nitrate - N (NO₃)],Fertilizers[Fertilizer],Recipe_Calc[[#This Row],[Nutrient Concentration (ppm)]])/100</f>
        <v>0</v>
      </c>
      <c r="F25">
        <f ca="1">SUMIFS(Recipe_Input[N supplied (ppm)],Recipe_Input[Fertilizer],Recipe_Calc[[#This Row],[Nutrient Concentration (ppm)]])*SUMIFS(Fertilizers[Phosphorus (P)],Fertilizers[Fertilizer],Recipe_Calc[[#This Row],[Nutrient Concentration (ppm)]])/100</f>
        <v>0</v>
      </c>
      <c r="G25">
        <f ca="1">SUMIFS(Recipe_Input[N supplied (ppm)],Recipe_Input[Fertilizer],Recipe_Calc[[#This Row],[Nutrient Concentration (ppm)]])*SUMIFS(Fertilizers[Potassium (K)],Fertilizers[Fertilizer],Recipe_Calc[[#This Row],[Nutrient Concentration (ppm)]])/100</f>
        <v>0</v>
      </c>
      <c r="H25">
        <f ca="1">SUMIFS(Recipe_Input[N supplied (ppm)],Recipe_Input[Fertilizer],Recipe_Calc[[#This Row],[Nutrient Concentration (ppm)]])*SUMIFS(Fertilizers[Calcium (Ca)],Fertilizers[Fertilizer],Recipe_Calc[[#This Row],[Nutrient Concentration (ppm)]])/100</f>
        <v>0</v>
      </c>
      <c r="I25">
        <f ca="1">SUMIFS(Recipe_Input[N supplied (ppm)],Recipe_Input[Fertilizer],Recipe_Calc[[#This Row],[Nutrient Concentration (ppm)]])*SUMIFS(Fertilizers[Magnesium (Mg)],Fertilizers[Fertilizer],Recipe_Calc[[#This Row],[Nutrient Concentration (ppm)]])/100</f>
        <v>0</v>
      </c>
      <c r="J25">
        <f ca="1">SUMIFS(Recipe_Input[N supplied (ppm)],Recipe_Input[Fertilizer],Recipe_Calc[[#This Row],[Nutrient Concentration (ppm)]])*SUMIFS(Fertilizers[Sulfur (S)],Fertilizers[Fertilizer],Recipe_Calc[[#This Row],[Nutrient Concentration (ppm)]])/100</f>
        <v>0</v>
      </c>
      <c r="K25">
        <f ca="1">SUMIFS(Recipe_Input[N supplied (ppm)],Recipe_Input[Fertilizer],Recipe_Calc[[#This Row],[Nutrient Concentration (ppm)]])*SUMIFS(Fertilizers[Boron (B)],Fertilizers[Fertilizer],Recipe_Calc[[#This Row],[Nutrient Concentration (ppm)]])/100</f>
        <v>0</v>
      </c>
      <c r="L25">
        <f ca="1">SUMIFS(Recipe_Input[N supplied (ppm)],Recipe_Input[Fertilizer],Recipe_Calc[[#This Row],[Nutrient Concentration (ppm)]])*SUMIFS(Fertilizers[Copper (Cu)],Fertilizers[Fertilizer],Recipe_Calc[[#This Row],[Nutrient Concentration (ppm)]])/100</f>
        <v>0</v>
      </c>
      <c r="M25">
        <f ca="1">SUMIFS(Recipe_Input[N supplied (ppm)],Recipe_Input[Fertilizer],Recipe_Calc[[#This Row],[Nutrient Concentration (ppm)]])*SUMIFS(Fertilizers[Iron (Fe)],Fertilizers[Fertilizer],Recipe_Calc[[#This Row],[Nutrient Concentration (ppm)]])/100</f>
        <v>0</v>
      </c>
      <c r="N25">
        <f ca="1">SUMIFS(Recipe_Input[N supplied (ppm)],Recipe_Input[Fertilizer],Recipe_Calc[[#This Row],[Nutrient Concentration (ppm)]])*SUMIFS(Fertilizers[Manganese (Mn)],Fertilizers[Fertilizer],Recipe_Calc[[#This Row],[Nutrient Concentration (ppm)]])/100</f>
        <v>0</v>
      </c>
      <c r="O25">
        <f ca="1">SUMIFS(Recipe_Input[N supplied (ppm)],Recipe_Input[Fertilizer],Recipe_Calc[[#This Row],[Nutrient Concentration (ppm)]])*SUMIFS(Fertilizers[Molybdenum (Mo)],Fertilizers[Fertilizer],Recipe_Calc[[#This Row],[Nutrient Concentration (ppm)]])/100</f>
        <v>0</v>
      </c>
      <c r="P25">
        <f ca="1">SUMIFS(Recipe_Input[N supplied (ppm)],Recipe_Input[Fertilizer],Recipe_Calc[[#This Row],[Nutrient Concentration (ppm)]])*SUMIFS(Fertilizers[Zinc (Zn)],Fertilizers[Fertilizer],Recipe_Calc[[#This Row],[Nutrient Concentration (ppm)]])/100</f>
        <v>0</v>
      </c>
    </row>
    <row r="26" spans="1:17">
      <c r="A26" t="str">
        <f ca="1">IF(INDEX(Recipe_Input[Fertilizer],ROW()-ROW(Recipe_Calc[#Headers]))="","(none selected)",INDEX(Recipe_Input[Fertilizer],ROW()-ROW(Recipe_Calc[#Headers])))</f>
        <v>(none selected)</v>
      </c>
      <c r="B26">
        <f ca="1">SUMIFS(Recipe_Input[N supplied (ppm)],Recipe_Input[Fertilizer],Recipe_Calc[[#This Row],[Nutrient Concentration (ppm)]])*SUMIFS(Fertilizers[Total Nitrogen (N)],Fertilizers[Fertilizer],Recipe_Calc[[#This Row],[Nutrient Concentration (ppm)]])/100</f>
        <v>0</v>
      </c>
      <c r="C26">
        <f ca="1">SUMIFS(Recipe_Input[N supplied (ppm)],Recipe_Input[Fertilizer],Recipe_Calc[[#This Row],[Nutrient Concentration (ppm)]])*SUMIFS(Fertilizers[Urea - N],Fertilizers[Fertilizer],Recipe_Calc[[#This Row],[Nutrient Concentration (ppm)]])/100</f>
        <v>0</v>
      </c>
      <c r="D26">
        <f ca="1">SUMIFS(Recipe_Input[N supplied (ppm)],Recipe_Input[Fertilizer],Recipe_Calc[[#This Row],[Nutrient Concentration (ppm)]])*SUMIFS(Fertilizers[Ammonium - N (NH₄)],Fertilizers[Fertilizer],Recipe_Calc[[#This Row],[Nutrient Concentration (ppm)]])/100</f>
        <v>0</v>
      </c>
      <c r="E26">
        <f ca="1">SUMIFS(Recipe_Input[N supplied (ppm)],Recipe_Input[Fertilizer],Recipe_Calc[[#This Row],[Nutrient Concentration (ppm)]])*SUMIFS(Fertilizers[Nitrate - N (NO₃)],Fertilizers[Fertilizer],Recipe_Calc[[#This Row],[Nutrient Concentration (ppm)]])/100</f>
        <v>0</v>
      </c>
      <c r="F26">
        <f ca="1">SUMIFS(Recipe_Input[N supplied (ppm)],Recipe_Input[Fertilizer],Recipe_Calc[[#This Row],[Nutrient Concentration (ppm)]])*SUMIFS(Fertilizers[Phosphorus (P)],Fertilizers[Fertilizer],Recipe_Calc[[#This Row],[Nutrient Concentration (ppm)]])/100</f>
        <v>0</v>
      </c>
      <c r="G26">
        <f ca="1">SUMIFS(Recipe_Input[N supplied (ppm)],Recipe_Input[Fertilizer],Recipe_Calc[[#This Row],[Nutrient Concentration (ppm)]])*SUMIFS(Fertilizers[Potassium (K)],Fertilizers[Fertilizer],Recipe_Calc[[#This Row],[Nutrient Concentration (ppm)]])/100</f>
        <v>0</v>
      </c>
      <c r="H26">
        <f ca="1">SUMIFS(Recipe_Input[N supplied (ppm)],Recipe_Input[Fertilizer],Recipe_Calc[[#This Row],[Nutrient Concentration (ppm)]])*SUMIFS(Fertilizers[Calcium (Ca)],Fertilizers[Fertilizer],Recipe_Calc[[#This Row],[Nutrient Concentration (ppm)]])/100</f>
        <v>0</v>
      </c>
      <c r="I26">
        <f ca="1">SUMIFS(Recipe_Input[N supplied (ppm)],Recipe_Input[Fertilizer],Recipe_Calc[[#This Row],[Nutrient Concentration (ppm)]])*SUMIFS(Fertilizers[Magnesium (Mg)],Fertilizers[Fertilizer],Recipe_Calc[[#This Row],[Nutrient Concentration (ppm)]])/100</f>
        <v>0</v>
      </c>
      <c r="J26">
        <f ca="1">SUMIFS(Recipe_Input[N supplied (ppm)],Recipe_Input[Fertilizer],Recipe_Calc[[#This Row],[Nutrient Concentration (ppm)]])*SUMIFS(Fertilizers[Sulfur (S)],Fertilizers[Fertilizer],Recipe_Calc[[#This Row],[Nutrient Concentration (ppm)]])/100</f>
        <v>0</v>
      </c>
      <c r="K26">
        <f ca="1">SUMIFS(Recipe_Input[N supplied (ppm)],Recipe_Input[Fertilizer],Recipe_Calc[[#This Row],[Nutrient Concentration (ppm)]])*SUMIFS(Fertilizers[Boron (B)],Fertilizers[Fertilizer],Recipe_Calc[[#This Row],[Nutrient Concentration (ppm)]])/100</f>
        <v>0</v>
      </c>
      <c r="L26">
        <f ca="1">SUMIFS(Recipe_Input[N supplied (ppm)],Recipe_Input[Fertilizer],Recipe_Calc[[#This Row],[Nutrient Concentration (ppm)]])*SUMIFS(Fertilizers[Copper (Cu)],Fertilizers[Fertilizer],Recipe_Calc[[#This Row],[Nutrient Concentration (ppm)]])/100</f>
        <v>0</v>
      </c>
      <c r="M26">
        <f ca="1">SUMIFS(Recipe_Input[N supplied (ppm)],Recipe_Input[Fertilizer],Recipe_Calc[[#This Row],[Nutrient Concentration (ppm)]])*SUMIFS(Fertilizers[Iron (Fe)],Fertilizers[Fertilizer],Recipe_Calc[[#This Row],[Nutrient Concentration (ppm)]])/100</f>
        <v>0</v>
      </c>
      <c r="N26">
        <f ca="1">SUMIFS(Recipe_Input[N supplied (ppm)],Recipe_Input[Fertilizer],Recipe_Calc[[#This Row],[Nutrient Concentration (ppm)]])*SUMIFS(Fertilizers[Manganese (Mn)],Fertilizers[Fertilizer],Recipe_Calc[[#This Row],[Nutrient Concentration (ppm)]])/100</f>
        <v>0</v>
      </c>
      <c r="O26">
        <f ca="1">SUMIFS(Recipe_Input[N supplied (ppm)],Recipe_Input[Fertilizer],Recipe_Calc[[#This Row],[Nutrient Concentration (ppm)]])*SUMIFS(Fertilizers[Molybdenum (Mo)],Fertilizers[Fertilizer],Recipe_Calc[[#This Row],[Nutrient Concentration (ppm)]])/100</f>
        <v>0</v>
      </c>
      <c r="P26">
        <f ca="1">SUMIFS(Recipe_Input[N supplied (ppm)],Recipe_Input[Fertilizer],Recipe_Calc[[#This Row],[Nutrient Concentration (ppm)]])*SUMIFS(Fertilizers[Zinc (Zn)],Fertilizers[Fertilizer],Recipe_Calc[[#This Row],[Nutrient Concentration (ppm)]])/100</f>
        <v>0</v>
      </c>
    </row>
    <row r="27" spans="1:17">
      <c r="A27" t="str">
        <f ca="1">IF(INDEX(Recipe_Input[Fertilizer],ROW()-ROW(Recipe_Calc[#Headers]))="","(none selected)",INDEX(Recipe_Input[Fertilizer],ROW()-ROW(Recipe_Calc[#Headers])))</f>
        <v>(none selected)</v>
      </c>
      <c r="B27">
        <f ca="1">SUMIFS(Recipe_Input[N supplied (ppm)],Recipe_Input[Fertilizer],Recipe_Calc[[#This Row],[Nutrient Concentration (ppm)]])*SUMIFS(Fertilizers[Total Nitrogen (N)],Fertilizers[Fertilizer],Recipe_Calc[[#This Row],[Nutrient Concentration (ppm)]])/100</f>
        <v>0</v>
      </c>
      <c r="C27">
        <f ca="1">SUMIFS(Recipe_Input[N supplied (ppm)],Recipe_Input[Fertilizer],Recipe_Calc[[#This Row],[Nutrient Concentration (ppm)]])*SUMIFS(Fertilizers[Urea - N],Fertilizers[Fertilizer],Recipe_Calc[[#This Row],[Nutrient Concentration (ppm)]])/100</f>
        <v>0</v>
      </c>
      <c r="D27">
        <f ca="1">SUMIFS(Recipe_Input[N supplied (ppm)],Recipe_Input[Fertilizer],Recipe_Calc[[#This Row],[Nutrient Concentration (ppm)]])*SUMIFS(Fertilizers[Ammonium - N (NH₄)],Fertilizers[Fertilizer],Recipe_Calc[[#This Row],[Nutrient Concentration (ppm)]])/100</f>
        <v>0</v>
      </c>
      <c r="E27">
        <f ca="1">SUMIFS(Recipe_Input[N supplied (ppm)],Recipe_Input[Fertilizer],Recipe_Calc[[#This Row],[Nutrient Concentration (ppm)]])*SUMIFS(Fertilizers[Nitrate - N (NO₃)],Fertilizers[Fertilizer],Recipe_Calc[[#This Row],[Nutrient Concentration (ppm)]])/100</f>
        <v>0</v>
      </c>
      <c r="F27">
        <f ca="1">SUMIFS(Recipe_Input[N supplied (ppm)],Recipe_Input[Fertilizer],Recipe_Calc[[#This Row],[Nutrient Concentration (ppm)]])*SUMIFS(Fertilizers[Phosphorus (P)],Fertilizers[Fertilizer],Recipe_Calc[[#This Row],[Nutrient Concentration (ppm)]])/100</f>
        <v>0</v>
      </c>
      <c r="G27">
        <f ca="1">SUMIFS(Recipe_Input[N supplied (ppm)],Recipe_Input[Fertilizer],Recipe_Calc[[#This Row],[Nutrient Concentration (ppm)]])*SUMIFS(Fertilizers[Potassium (K)],Fertilizers[Fertilizer],Recipe_Calc[[#This Row],[Nutrient Concentration (ppm)]])/100</f>
        <v>0</v>
      </c>
      <c r="H27">
        <f ca="1">SUMIFS(Recipe_Input[N supplied (ppm)],Recipe_Input[Fertilizer],Recipe_Calc[[#This Row],[Nutrient Concentration (ppm)]])*SUMIFS(Fertilizers[Calcium (Ca)],Fertilizers[Fertilizer],Recipe_Calc[[#This Row],[Nutrient Concentration (ppm)]])/100</f>
        <v>0</v>
      </c>
      <c r="I27">
        <f ca="1">SUMIFS(Recipe_Input[N supplied (ppm)],Recipe_Input[Fertilizer],Recipe_Calc[[#This Row],[Nutrient Concentration (ppm)]])*SUMIFS(Fertilizers[Magnesium (Mg)],Fertilizers[Fertilizer],Recipe_Calc[[#This Row],[Nutrient Concentration (ppm)]])/100</f>
        <v>0</v>
      </c>
      <c r="J27">
        <f ca="1">SUMIFS(Recipe_Input[N supplied (ppm)],Recipe_Input[Fertilizer],Recipe_Calc[[#This Row],[Nutrient Concentration (ppm)]])*SUMIFS(Fertilizers[Sulfur (S)],Fertilizers[Fertilizer],Recipe_Calc[[#This Row],[Nutrient Concentration (ppm)]])/100</f>
        <v>0</v>
      </c>
      <c r="K27">
        <f ca="1">SUMIFS(Recipe_Input[N supplied (ppm)],Recipe_Input[Fertilizer],Recipe_Calc[[#This Row],[Nutrient Concentration (ppm)]])*SUMIFS(Fertilizers[Boron (B)],Fertilizers[Fertilizer],Recipe_Calc[[#This Row],[Nutrient Concentration (ppm)]])/100</f>
        <v>0</v>
      </c>
      <c r="L27">
        <f ca="1">SUMIFS(Recipe_Input[N supplied (ppm)],Recipe_Input[Fertilizer],Recipe_Calc[[#This Row],[Nutrient Concentration (ppm)]])*SUMIFS(Fertilizers[Copper (Cu)],Fertilizers[Fertilizer],Recipe_Calc[[#This Row],[Nutrient Concentration (ppm)]])/100</f>
        <v>0</v>
      </c>
      <c r="M27">
        <f ca="1">SUMIFS(Recipe_Input[N supplied (ppm)],Recipe_Input[Fertilizer],Recipe_Calc[[#This Row],[Nutrient Concentration (ppm)]])*SUMIFS(Fertilizers[Iron (Fe)],Fertilizers[Fertilizer],Recipe_Calc[[#This Row],[Nutrient Concentration (ppm)]])/100</f>
        <v>0</v>
      </c>
      <c r="N27">
        <f ca="1">SUMIFS(Recipe_Input[N supplied (ppm)],Recipe_Input[Fertilizer],Recipe_Calc[[#This Row],[Nutrient Concentration (ppm)]])*SUMIFS(Fertilizers[Manganese (Mn)],Fertilizers[Fertilizer],Recipe_Calc[[#This Row],[Nutrient Concentration (ppm)]])/100</f>
        <v>0</v>
      </c>
      <c r="O27">
        <f ca="1">SUMIFS(Recipe_Input[N supplied (ppm)],Recipe_Input[Fertilizer],Recipe_Calc[[#This Row],[Nutrient Concentration (ppm)]])*SUMIFS(Fertilizers[Molybdenum (Mo)],Fertilizers[Fertilizer],Recipe_Calc[[#This Row],[Nutrient Concentration (ppm)]])/100</f>
        <v>0</v>
      </c>
      <c r="P27">
        <f ca="1">SUMIFS(Recipe_Input[N supplied (ppm)],Recipe_Input[Fertilizer],Recipe_Calc[[#This Row],[Nutrient Concentration (ppm)]])*SUMIFS(Fertilizers[Zinc (Zn)],Fertilizers[Fertilizer],Recipe_Calc[[#This Row],[Nutrient Concentration (ppm)]])/100</f>
        <v>0</v>
      </c>
    </row>
    <row r="28" spans="1:17">
      <c r="A28" t="s">
        <v>245</v>
      </c>
      <c r="B28" cm="1">
        <f t="array" ref="B28">Water_Test[Nitrate-N]</f>
        <v>0</v>
      </c>
      <c r="C28" cm="1">
        <f t="array" ref="C28">Water_Test[Urea]</f>
        <v>0</v>
      </c>
      <c r="D28" cm="1">
        <f t="array" ref="D28">Water_Test[Ammonium-N]</f>
        <v>0</v>
      </c>
      <c r="E28" cm="1">
        <f t="array" ref="E28">Water_Test[Nitrate-N]</f>
        <v>0</v>
      </c>
      <c r="F28" cm="1">
        <f t="array" ref="F28">Water_Test[P]</f>
        <v>0</v>
      </c>
      <c r="G28" cm="1">
        <f t="array" ref="G28">Water_Test[K]</f>
        <v>0</v>
      </c>
      <c r="H28" cm="1">
        <f t="array" ref="H28">Water_Test[Ca]</f>
        <v>0</v>
      </c>
      <c r="I28" cm="1">
        <f t="array" ref="I28">Water_Test[Mg]</f>
        <v>0</v>
      </c>
      <c r="J28" cm="1">
        <f t="array" ref="J28">Water_Test[SO₄²⁻]*INDEX(Conversions[Value],MATCH("Sulfur",Conversions[From],0))</f>
        <v>0</v>
      </c>
      <c r="K28" cm="1">
        <f t="array" ref="K28">Water_Test[B]</f>
        <v>0</v>
      </c>
      <c r="L28" cm="1">
        <f t="array" ref="L28">Water_Test[Cu]</f>
        <v>0</v>
      </c>
      <c r="M28" cm="1">
        <f t="array" ref="M28">Water_Test[Fe]</f>
        <v>0</v>
      </c>
      <c r="N28" cm="1">
        <f t="array" ref="N28">Water_Test[Mn]</f>
        <v>0</v>
      </c>
      <c r="O28" cm="1">
        <f t="array" ref="O28">Water_Test[Mo]</f>
        <v>0</v>
      </c>
      <c r="P28" cm="1">
        <f t="array" ref="P28">Water_Test[Zn]</f>
        <v>0</v>
      </c>
    </row>
    <row r="29" spans="1:17">
      <c r="A29" t="s">
        <v>246</v>
      </c>
      <c r="B29">
        <f ca="1">SUM(INDEX(Recipe_Calc[Total N],1):INDEX(Recipe_Calc[Total N],6))</f>
        <v>125</v>
      </c>
      <c r="C29">
        <f ca="1">SUM(INDEX(Recipe_Calc[Urea],1):INDEX(Recipe_Calc[Urea],6))</f>
        <v>0</v>
      </c>
      <c r="D29">
        <f ca="1">SUM(INDEX(Recipe_Calc[Ammonium-N],1):INDEX(Recipe_Calc[Ammonium-N],6))</f>
        <v>2.125</v>
      </c>
      <c r="E29">
        <f ca="1">SUM(INDEX(Recipe_Calc[Nitrate-N],1):INDEX(Recipe_Calc[Nitrate-N],6))</f>
        <v>122.875</v>
      </c>
      <c r="F29">
        <f ca="1">SUM(INDEX(Recipe_Calc[P],1):INDEX(Recipe_Calc[P],6))</f>
        <v>18.125</v>
      </c>
      <c r="G29">
        <f ca="1">SUM(INDEX(Recipe_Calc[K],1):INDEX(Recipe_Calc[K],6))</f>
        <v>138.375</v>
      </c>
      <c r="H29">
        <f ca="1">SUM(INDEX(Recipe_Calc[Ca],1):INDEX(Recipe_Calc[Ca],6))</f>
        <v>72.875</v>
      </c>
      <c r="I29">
        <f ca="1">SUM(INDEX(Recipe_Calc[Mg],1):INDEX(Recipe_Calc[Mg],6))</f>
        <v>20.875</v>
      </c>
      <c r="J29">
        <f ca="1">SUM(INDEX(Recipe_Calc[S],1):INDEX(Recipe_Calc[S],6))</f>
        <v>0</v>
      </c>
      <c r="K29">
        <f ca="1">SUM(INDEX(Recipe_Calc[B],1):INDEX(Recipe_Calc[B],6))</f>
        <v>0.21249999999999999</v>
      </c>
      <c r="L29">
        <f ca="1">SUM(INDEX(Recipe_Calc[Cu],1):INDEX(Recipe_Calc[Cu],6))</f>
        <v>0.21249999999999999</v>
      </c>
      <c r="M29">
        <f ca="1">SUM(INDEX(Recipe_Calc[Fe],1):INDEX(Recipe_Calc[Fe],6))</f>
        <v>1.5625</v>
      </c>
      <c r="N29">
        <f ca="1">SUM(INDEX(Recipe_Calc[Mn],1):INDEX(Recipe_Calc[Mn],6))</f>
        <v>0.52500000000000002</v>
      </c>
      <c r="O29">
        <f ca="1">SUM(INDEX(Recipe_Calc[Mo],1):INDEX(Recipe_Calc[Mo],6))</f>
        <v>1.2500000000000001E-2</v>
      </c>
      <c r="P29">
        <f ca="1">SUM(INDEX(Recipe_Calc[Zn],1):INDEX(Recipe_Calc[Zn],6))</f>
        <v>0.36249999999999999</v>
      </c>
      <c r="Q29">
        <f ca="1">IF(N(Recipe_Calc[[#This Row],[Total N]])&gt;0,Recipe_Calc[[#This Row],[K]]/Recipe_Calc[[#This Row],[Total N]],"")</f>
        <v>1.107</v>
      </c>
    </row>
    <row r="30" spans="1:17">
      <c r="A30" t="s">
        <v>247</v>
      </c>
      <c r="B30">
        <f ca="1">IF(Recipes_Crop[Crop]="","",IFERROR(AVERAGEIFS(Nutrients_2[C:Nitrogen],Nutrients_2[For],Recipes_Crop[Crop]),""))</f>
        <v>170</v>
      </c>
      <c r="F30">
        <f ca="1">IF(Recipes_Crop[Crop]="","",IFERROR(AVERAGEIFS(Nutrients_2[C:Phosphorus],Nutrients_2[For],Recipes_Crop[Crop]),""))</f>
        <v>41.56666666666667</v>
      </c>
      <c r="G30">
        <f ca="1">IF(Recipes_Crop[Crop]="","",IFERROR(AVERAGEIFS(Nutrients_2[C:Potassium],Nutrients_2[For],Recipes_Crop[Crop]),""))</f>
        <v>248.93333333333331</v>
      </c>
      <c r="H30">
        <f ca="1">IF(Recipes_Crop[Crop]="","",IFERROR(AVERAGEIFS(Nutrients_2[C:Calcium],Nutrients_2[For],Recipes_Crop[Crop]),""))</f>
        <v>127.39999999999999</v>
      </c>
      <c r="I30">
        <f ca="1">IF(Recipes_Crop[Crop]="","",IFERROR(AVERAGEIFS(Nutrients_2[C:Magnesium],Nutrients_2[For],Recipes_Crop[Crop]),""))</f>
        <v>40.733333333333334</v>
      </c>
      <c r="J30">
        <f ca="1">IF(Recipes_Crop[Crop]="","",IFERROR(AVERAGEIFS(Nutrients_2[C:Sulfur],Nutrients_2[For],Recipes_Crop[Crop]),""))</f>
        <v>58.6</v>
      </c>
      <c r="K30">
        <f ca="1">IF(Recipes_Crop[Crop]="","",IFERROR(AVERAGEIFS(Nutrients_2[C:Boron],Nutrients_2[For],Recipes_Crop[Crop]),""))</f>
        <v>0.35333333333333333</v>
      </c>
      <c r="L30">
        <f ca="1">IF(Recipes_Crop[Crop]="","",IFERROR(AVERAGEIFS(Nutrients_2[C:Copper],Nutrients_2[For],Recipes_Crop[Crop]),""))</f>
        <v>0.10766666666666667</v>
      </c>
      <c r="M30">
        <f ca="1">IF(Recipes_Crop[Crop]="","",IFERROR(AVERAGEIFS(Nutrients_2[C:Iron],Nutrients_2[For],Recipes_Crop[Crop]),""))</f>
        <v>2.5</v>
      </c>
      <c r="N30">
        <f ca="1">IF(Recipes_Crop[Crop]="","",IFERROR(AVERAGEIFS(Nutrients_2[C:Manganese],Nutrients_2[For],Recipes_Crop[Crop]),""))</f>
        <v>0.41666666666666669</v>
      </c>
      <c r="O30">
        <f ca="1">IF(Recipes_Crop[Crop]="","",IFERROR(AVERAGEIFS(Nutrients_2[C:Molybdenum],Nutrients_2[For],Recipes_Crop[Crop]),""))</f>
        <v>3.1333333333333331E-2</v>
      </c>
      <c r="P30">
        <f ca="1">IF(Recipes_Crop[Crop]="","",IFERROR(AVERAGEIFS(Nutrients_2[C:Zinc],Nutrients_2[For],Recipes_Crop[Crop]),""))</f>
        <v>0.17666666666666667</v>
      </c>
      <c r="Q30">
        <f ca="1">IF(AND(ISNUMBER(Recipe_Calc[[#This Row],[K]]),ISNUMBER(Recipe_Calc[[#This Row],[Total N]])),IF(Recipe_Calc[[#This Row],[Total N]]&gt;0,Recipe_Calc[[#This Row],[K]]/Recipe_Calc[[#This Row],[Total N]],""),"")</f>
        <v>1.4643137254901959</v>
      </c>
    </row>
    <row r="31" spans="1:17">
      <c r="A31" t="s">
        <v>232</v>
      </c>
      <c r="B31">
        <f ca="1">IF(AND(ISNUMBER(INDEX(Recipe_Calc[Total N],8)),N(INDEX(Recipe_Calc[Total N],8))&gt;0),INDEX(Recipe_Calc[Total N],7)/INDEX(Recipe_Calc[Total N],8)*100,"")</f>
        <v>73.529411764705884</v>
      </c>
      <c r="F31">
        <f ca="1">IF(AND(ISNUMBER(INDEX(Recipe_Calc[P],8)),N(INDEX(Recipe_Calc[P],8))&gt;0),INDEX(Recipe_Calc[P],7)/INDEX(Recipe_Calc[P],8)*100,"")</f>
        <v>43.604651162790695</v>
      </c>
      <c r="G31">
        <f ca="1">IF(AND(ISNUMBER(INDEX(Recipe_Calc[K],8)),N(INDEX(Recipe_Calc[K],8))&gt;0),INDEX(Recipe_Calc[K],7)/INDEX(Recipe_Calc[K],8)*100,"")</f>
        <v>55.587171933583292</v>
      </c>
      <c r="H31">
        <f ca="1">IF(AND(ISNUMBER(INDEX(Recipe_Calc[Ca],8)),N(INDEX(Recipe_Calc[Ca],8))&gt;0),INDEX(Recipe_Calc[Ca],7)/INDEX(Recipe_Calc[Ca],8)*100,"")</f>
        <v>57.201726844583987</v>
      </c>
      <c r="I31">
        <f ca="1">IF(AND(ISNUMBER(INDEX(Recipe_Calc[Mg],8)),N(INDEX(Recipe_Calc[Mg],8))&gt;0),INDEX(Recipe_Calc[Mg],7)/INDEX(Recipe_Calc[Mg],8)*100,"")</f>
        <v>51.247954173486086</v>
      </c>
      <c r="J31">
        <f ca="1">IF(AND(ISNUMBER(INDEX(Recipe_Calc[S],8)),N(INDEX(Recipe_Calc[S],8))&gt;0),INDEX(Recipe_Calc[S],7)/INDEX(Recipe_Calc[S],8)*100,"")</f>
        <v>0</v>
      </c>
      <c r="K31">
        <f ca="1">IF(AND(ISNUMBER(INDEX(Recipe_Calc[B],8)),N(INDEX(Recipe_Calc[B],8))&gt;0),INDEX(Recipe_Calc[B],7)/INDEX(Recipe_Calc[B],8)*100,"")</f>
        <v>60.141509433962256</v>
      </c>
      <c r="L31">
        <f ca="1">IF(AND(ISNUMBER(INDEX(Recipe_Calc[Cu],8)),N(INDEX(Recipe_Calc[Cu],8))&gt;0),INDEX(Recipe_Calc[Cu],7)/INDEX(Recipe_Calc[Cu],8)*100,"")</f>
        <v>197.36842105263156</v>
      </c>
      <c r="M31">
        <f ca="1">IF(AND(ISNUMBER(INDEX(Recipe_Calc[Fe],8)),N(INDEX(Recipe_Calc[Fe],8))&gt;0),INDEX(Recipe_Calc[Fe],7)/INDEX(Recipe_Calc[Fe],8)*100,"")</f>
        <v>62.5</v>
      </c>
      <c r="N31">
        <f ca="1">IF(AND(ISNUMBER(INDEX(Recipe_Calc[Mn],8)),N(INDEX(Recipe_Calc[Mn],8))&gt;0),INDEX(Recipe_Calc[Mn],7)/INDEX(Recipe_Calc[Mn],8)*100,"")</f>
        <v>126</v>
      </c>
      <c r="O31">
        <f ca="1">IF(AND(ISNUMBER(INDEX(Recipe_Calc[Mo],8)),N(INDEX(Recipe_Calc[Mo],8))&gt;0),INDEX(Recipe_Calc[Mo],7)/INDEX(Recipe_Calc[Mo],8)*100,"")</f>
        <v>39.893617021276597</v>
      </c>
      <c r="P31">
        <f ca="1">IF(AND(ISNUMBER(INDEX(Recipe_Calc[Zn],8)),N(INDEX(Recipe_Calc[Zn],8))&gt;0),INDEX(Recipe_Calc[Zn],7)/INDEX(Recipe_Calc[Zn],8)*100,"")</f>
        <v>205.18867924528303</v>
      </c>
    </row>
  </sheetData>
  <conditionalFormatting sqref="A11:AF999991">
    <cfRule type="expression" dxfId="244" priority="1">
      <formula>_xlfn.ISFORMULA(A11)</formula>
    </cfRule>
  </conditionalFormatting>
  <dataValidations count="4">
    <dataValidation type="list" allowBlank="1" showInputMessage="1" showErrorMessage="1" sqref="A11" xr:uid="{B919B1A5-4D77-412A-A257-3CB760A3A345}">
      <formula1>Calc_Crops</formula1>
    </dataValidation>
    <dataValidation type="list" allowBlank="1" showInputMessage="1" showErrorMessage="1" sqref="A15:A19" xr:uid="{FFD80EBE-B12D-4EC0-83D0-EB316C225011}">
      <formula1>Calc_Fertilizers</formula1>
    </dataValidation>
    <dataValidation type="decimal" operator="greaterThanOrEqual" allowBlank="1" showErrorMessage="1" errorTitle="Amount" error="Enter an amount of 0 grams or more." sqref="E15:F19" xr:uid="{68888815-01D9-4848-AF31-165C446324E1}">
      <formula1>0</formula1>
    </dataValidation>
    <dataValidation allowBlank="1" showInputMessage="1" showErrorMessage="1" sqref="D11" xr:uid="{31F3A546-D7E5-4E26-858F-8F8576EE8349}"/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7936-2912-4FAC-AC3C-6E154985DEFE}">
  <dimension ref="A2:S74"/>
  <sheetViews>
    <sheetView topLeftCell="A19" workbookViewId="0">
      <selection activeCell="Q33" sqref="Q33"/>
    </sheetView>
  </sheetViews>
  <sheetFormatPr defaultRowHeight="15"/>
  <sheetData>
    <row r="2" spans="1:19" ht="18.75">
      <c r="A2" s="45" t="s">
        <v>194</v>
      </c>
    </row>
    <row r="3" spans="1:19">
      <c r="A3" s="46" t="s">
        <v>195</v>
      </c>
    </row>
    <row r="4" spans="1:19">
      <c r="A4" s="47" t="s">
        <v>196</v>
      </c>
      <c r="B4" s="62" t="s">
        <v>197</v>
      </c>
      <c r="C4" s="48" t="s">
        <v>198</v>
      </c>
      <c r="D4" s="47" t="s">
        <v>199</v>
      </c>
      <c r="E4" s="46" t="s">
        <v>200</v>
      </c>
    </row>
    <row r="6" spans="1:19">
      <c r="A6" s="49" t="s">
        <v>248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76.5">
      <c r="A7" s="50" t="s">
        <v>249</v>
      </c>
      <c r="B7" s="50" t="s">
        <v>214</v>
      </c>
      <c r="C7" s="50" t="s">
        <v>215</v>
      </c>
      <c r="D7" s="50" t="s">
        <v>216</v>
      </c>
      <c r="E7" s="50" t="s">
        <v>217</v>
      </c>
      <c r="F7" s="50" t="s">
        <v>63</v>
      </c>
      <c r="G7" s="50" t="s">
        <v>64</v>
      </c>
      <c r="H7" s="50" t="s">
        <v>218</v>
      </c>
      <c r="I7" s="50" t="s">
        <v>219</v>
      </c>
      <c r="J7" s="50" t="s">
        <v>29</v>
      </c>
      <c r="K7" s="50" t="s">
        <v>221</v>
      </c>
      <c r="L7" s="50" t="s">
        <v>222</v>
      </c>
      <c r="M7" s="50" t="s">
        <v>223</v>
      </c>
      <c r="N7" s="50" t="s">
        <v>224</v>
      </c>
      <c r="O7" s="50" t="s">
        <v>225</v>
      </c>
      <c r="P7" s="50" t="s">
        <v>226</v>
      </c>
      <c r="Q7" s="50" t="s">
        <v>250</v>
      </c>
      <c r="R7" s="50" t="s">
        <v>7</v>
      </c>
      <c r="S7" s="50" t="s">
        <v>251</v>
      </c>
    </row>
    <row r="8" spans="1:19">
      <c r="A8" s="47" t="s">
        <v>252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/>
      <c r="R8" s="63"/>
      <c r="S8" s="63"/>
    </row>
    <row r="10" spans="1:19">
      <c r="A10" s="49" t="s">
        <v>253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19">
      <c r="A11" s="47" t="s">
        <v>201</v>
      </c>
      <c r="B11" s="64" t="s">
        <v>183</v>
      </c>
      <c r="C11" s="64"/>
      <c r="D11" s="64"/>
    </row>
    <row r="12" spans="1:19">
      <c r="A12" s="47" t="s">
        <v>254</v>
      </c>
      <c r="B12" s="65">
        <v>10</v>
      </c>
      <c r="C12" s="65"/>
      <c r="D12" s="65"/>
    </row>
    <row r="13" spans="1:19">
      <c r="A13" s="47" t="s">
        <v>255</v>
      </c>
      <c r="B13" s="65"/>
      <c r="C13" s="65"/>
      <c r="D13" s="65"/>
      <c r="E13" s="51" t="str">
        <f ca="1">IF(OR($B$11="",$B$13=""),"",IF(OR($B$14="",$C$14=""),"No pH range on file for this crop",IF(AND($B$13&gt;=$B$14,$B$13&lt;=$C$14),"Optimal pH","Warning - pH level is outside of normal range")))</f>
        <v/>
      </c>
    </row>
    <row r="14" spans="1:19">
      <c r="A14" s="47" t="s">
        <v>256</v>
      </c>
      <c r="B14" s="52">
        <f ca="1">IF($B$11="","",IFERROR(IF(ISNUMBER(INDEX(Nutrients_2[C:pH (min)],MATCH($B$11,Nutrients_2[For],0))),INDEX(Nutrients_2[C:pH (min)],MATCH($B$11,Nutrients_2[For],0)),""),""))</f>
        <v>5.5</v>
      </c>
      <c r="C14" s="52">
        <f ca="1">IF($B$11="","",IFERROR(IF(ISNUMBER(INDEX(Nutrients_2[C:pH (max)],MATCH($B$11,Nutrients_2[For],0))),INDEX(Nutrients_2[C:pH (max)],MATCH($B$11,Nutrients_2[For],0)),""),""))</f>
        <v>6</v>
      </c>
    </row>
    <row r="15" spans="1:19">
      <c r="A15" s="47" t="s">
        <v>257</v>
      </c>
      <c r="B15" s="53">
        <f>IF($B$11="","",COUNTIF(Nutrients_1[For],$B$11))</f>
        <v>1</v>
      </c>
    </row>
    <row r="17" spans="1:19">
      <c r="A17" s="49" t="s">
        <v>205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:19" ht="45.75">
      <c r="A18" s="50" t="s">
        <v>206</v>
      </c>
      <c r="B18" s="50" t="s">
        <v>209</v>
      </c>
      <c r="C18" s="50" t="s">
        <v>210</v>
      </c>
      <c r="D18" s="50" t="s">
        <v>211</v>
      </c>
    </row>
    <row r="19" spans="1:19">
      <c r="A19" s="62" t="s">
        <v>82</v>
      </c>
      <c r="B19" s="63">
        <v>1.7</v>
      </c>
      <c r="C19" s="54">
        <f>IF(OR($A19="",$B19=""),"",IFERROR($B19*1000/$B$12,""))</f>
        <v>170</v>
      </c>
      <c r="D19" s="54">
        <f>IFERROR(IF($A19="",0,VALUE(INDEX(Fertilizers[N],MATCH($A19,Fertilizers[Fertilizer],0)))*N($B19)*10/$B$12),0)</f>
        <v>20.399999999999999</v>
      </c>
    </row>
    <row r="20" spans="1:19">
      <c r="A20" s="62"/>
      <c r="B20" s="63"/>
      <c r="C20" s="54" t="str">
        <f>IF(OR($A20="",$B20=""),"",IFERROR($B20*1000/$B$12,""))</f>
        <v/>
      </c>
      <c r="D20" s="54">
        <f>IFERROR(IF($A20="",0,VALUE(INDEX(Fertilizers[N],MATCH($A20,Fertilizers[Fertilizer],0)))*N($B20)*10/$B$12),0)</f>
        <v>0</v>
      </c>
    </row>
    <row r="21" spans="1:19">
      <c r="A21" s="62"/>
      <c r="B21" s="63"/>
      <c r="C21" s="54" t="str">
        <f>IF(OR($A21="",$B21=""),"",IFERROR($B21*1000/$B$12,""))</f>
        <v/>
      </c>
      <c r="D21" s="54">
        <f>IFERROR(IF($A21="",0,VALUE(INDEX(Fertilizers[N],MATCH($A21,Fertilizers[Fertilizer],0)))*N($B21)*10/$B$12),0)</f>
        <v>0</v>
      </c>
    </row>
    <row r="22" spans="1:19">
      <c r="A22" s="62"/>
      <c r="B22" s="63"/>
      <c r="C22" s="54" t="str">
        <f>IF(OR($A22="",$B22=""),"",IFERROR($B22*1000/$B$12,""))</f>
        <v/>
      </c>
      <c r="D22" s="54">
        <f>IFERROR(IF($A22="",0,VALUE(INDEX(Fertilizers[N],MATCH($A22,Fertilizers[Fertilizer],0)))*N($B22)*10/$B$12),0)</f>
        <v>0</v>
      </c>
    </row>
    <row r="23" spans="1:19">
      <c r="A23" s="62"/>
      <c r="B23" s="63"/>
      <c r="C23" s="54" t="str">
        <f>IF(OR($A23="",$B23=""),"",IFERROR($B23*1000/$B$12,""))</f>
        <v/>
      </c>
      <c r="D23" s="54">
        <f>IFERROR(IF($A23="",0,VALUE(INDEX(Fertilizers[N],MATCH($A23,Fertilizers[Fertilizer],0)))*N($B23)*10/$B$12),0)</f>
        <v>0</v>
      </c>
    </row>
    <row r="25" spans="1:19">
      <c r="A25" s="49" t="s">
        <v>212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</row>
    <row r="26" spans="1:19" ht="60.75">
      <c r="A26" s="50" t="s">
        <v>213</v>
      </c>
      <c r="B26" s="50" t="s">
        <v>214</v>
      </c>
      <c r="C26" s="50" t="s">
        <v>215</v>
      </c>
      <c r="D26" s="50" t="s">
        <v>216</v>
      </c>
      <c r="E26" s="50" t="s">
        <v>217</v>
      </c>
      <c r="F26" s="50" t="s">
        <v>63</v>
      </c>
      <c r="G26" s="50" t="s">
        <v>64</v>
      </c>
      <c r="H26" s="50" t="s">
        <v>218</v>
      </c>
      <c r="I26" s="50" t="s">
        <v>219</v>
      </c>
      <c r="J26" s="50" t="s">
        <v>220</v>
      </c>
      <c r="K26" s="50" t="s">
        <v>221</v>
      </c>
      <c r="L26" s="50" t="s">
        <v>222</v>
      </c>
      <c r="M26" s="50" t="s">
        <v>223</v>
      </c>
      <c r="N26" s="50" t="s">
        <v>224</v>
      </c>
      <c r="O26" s="50" t="s">
        <v>225</v>
      </c>
      <c r="P26" s="50" t="s">
        <v>226</v>
      </c>
      <c r="Q26" s="50" t="s">
        <v>227</v>
      </c>
    </row>
    <row r="27" spans="1:19">
      <c r="A27" s="47" t="str">
        <f>IF($A19="","(none selected)",$A19)</f>
        <v>12-4-16</v>
      </c>
      <c r="B27" s="54">
        <f>IFERROR($D19*INDEX(Fertilizers[#Data],MATCH($A19,Fertilizers[Fertilizer],0),MATCH(B$69,Fertilizers[#Headers],0))/100,0)</f>
        <v>20.399999999999999</v>
      </c>
      <c r="C27" s="54">
        <f>IFERROR($D19*INDEX(Fertilizers[#Data],MATCH($A19,Fertilizers[Fertilizer],0),MATCH(C$69,Fertilizers[#Headers],0))/100,0)</f>
        <v>0</v>
      </c>
      <c r="D27" s="54">
        <f>IFERROR($D19*INDEX(Fertilizers[#Data],MATCH($A19,Fertilizers[Fertilizer],0),MATCH(D$69,Fertilizers[#Headers],0))/100,0)</f>
        <v>0.3468</v>
      </c>
      <c r="E27" s="54">
        <f>IFERROR($D19*INDEX(Fertilizers[#Data],MATCH($A19,Fertilizers[Fertilizer],0),MATCH(E$69,Fertilizers[#Headers],0))/100,0)</f>
        <v>20.053199999999997</v>
      </c>
      <c r="F27" s="54">
        <f>IFERROR($D19*INDEX(Fertilizers[#Data],MATCH($A19,Fertilizers[Fertilizer],0),MATCH(F$69,Fertilizers[#Headers],0))/100,0)</f>
        <v>2.9579999999999997</v>
      </c>
      <c r="G27" s="54">
        <f>IFERROR($D19*INDEX(Fertilizers[#Data],MATCH($A19,Fertilizers[Fertilizer],0),MATCH(G$69,Fertilizers[#Headers],0))/100,0)</f>
        <v>22.582799999999999</v>
      </c>
      <c r="H27" s="54">
        <f>IFERROR($D19*INDEX(Fertilizers[#Data],MATCH($A19,Fertilizers[Fertilizer],0),MATCH(H$69,Fertilizers[#Headers],0))/100,0)</f>
        <v>11.8932</v>
      </c>
      <c r="I27" s="54">
        <f>IFERROR($D19*INDEX(Fertilizers[#Data],MATCH($A19,Fertilizers[Fertilizer],0),MATCH(I$69,Fertilizers[#Headers],0))/100,0)</f>
        <v>3.4067999999999996</v>
      </c>
      <c r="J27" s="54">
        <f>IFERROR($D19*INDEX(Fertilizers[#Data],MATCH($A19,Fertilizers[Fertilizer],0),MATCH(J$69,Fertilizers[#Headers],0))/100,0)</f>
        <v>0</v>
      </c>
      <c r="K27" s="54">
        <f>IFERROR($D19*INDEX(Fertilizers[#Data],MATCH($A19,Fertilizers[Fertilizer],0),MATCH(K$69,Fertilizers[#Headers],0))/100,0)</f>
        <v>3.4680000000000002E-2</v>
      </c>
      <c r="L27" s="54">
        <f>IFERROR($D19*INDEX(Fertilizers[#Data],MATCH($A19,Fertilizers[Fertilizer],0),MATCH(L$69,Fertilizers[#Headers],0))/100,0)</f>
        <v>3.4680000000000002E-2</v>
      </c>
      <c r="M27" s="54">
        <f>IFERROR($D19*INDEX(Fertilizers[#Data],MATCH($A19,Fertilizers[Fertilizer],0),MATCH(M$69,Fertilizers[#Headers],0))/100,0)</f>
        <v>0.255</v>
      </c>
      <c r="N27" s="54">
        <f>IFERROR($D19*INDEX(Fertilizers[#Data],MATCH($A19,Fertilizers[Fertilizer],0),MATCH(N$69,Fertilizers[#Headers],0))/100,0)</f>
        <v>8.5679999999999992E-2</v>
      </c>
      <c r="O27" s="54">
        <f>IFERROR($D19*INDEX(Fertilizers[#Data],MATCH($A19,Fertilizers[Fertilizer],0),MATCH(O$69,Fertilizers[#Headers],0))/100,0)</f>
        <v>2.0399999999999997E-3</v>
      </c>
      <c r="P27" s="54">
        <f>IFERROR($D19*INDEX(Fertilizers[#Data],MATCH($A19,Fertilizers[Fertilizer],0),MATCH(P$69,Fertilizers[#Headers],0))/100,0)</f>
        <v>5.9159999999999997E-2</v>
      </c>
      <c r="Q27" s="47"/>
    </row>
    <row r="28" spans="1:19">
      <c r="A28" s="47" t="str">
        <f>IF($A20="","(none selected)",$A20)</f>
        <v>(none selected)</v>
      </c>
      <c r="B28" s="54">
        <f>IFERROR($D20*INDEX(Fertilizers[#Data],MATCH($A20,Fertilizers[Fertilizer],0),MATCH(B$69,Fertilizers[#Headers],0))/100,0)</f>
        <v>0</v>
      </c>
      <c r="C28" s="54">
        <f>IFERROR($D20*INDEX(Fertilizers[#Data],MATCH($A20,Fertilizers[Fertilizer],0),MATCH(C$69,Fertilizers[#Headers],0))/100,0)</f>
        <v>0</v>
      </c>
      <c r="D28" s="54">
        <f>IFERROR($D20*INDEX(Fertilizers[#Data],MATCH($A20,Fertilizers[Fertilizer],0),MATCH(D$69,Fertilizers[#Headers],0))/100,0)</f>
        <v>0</v>
      </c>
      <c r="E28" s="54">
        <f>IFERROR($D20*INDEX(Fertilizers[#Data],MATCH($A20,Fertilizers[Fertilizer],0),MATCH(E$69,Fertilizers[#Headers],0))/100,0)</f>
        <v>0</v>
      </c>
      <c r="F28" s="54">
        <f>IFERROR($D20*INDEX(Fertilizers[#Data],MATCH($A20,Fertilizers[Fertilizer],0),MATCH(F$69,Fertilizers[#Headers],0))/100,0)</f>
        <v>0</v>
      </c>
      <c r="G28" s="54">
        <f>IFERROR($D20*INDEX(Fertilizers[#Data],MATCH($A20,Fertilizers[Fertilizer],0),MATCH(G$69,Fertilizers[#Headers],0))/100,0)</f>
        <v>0</v>
      </c>
      <c r="H28" s="54">
        <f>IFERROR($D20*INDEX(Fertilizers[#Data],MATCH($A20,Fertilizers[Fertilizer],0),MATCH(H$69,Fertilizers[#Headers],0))/100,0)</f>
        <v>0</v>
      </c>
      <c r="I28" s="54">
        <f>IFERROR($D20*INDEX(Fertilizers[#Data],MATCH($A20,Fertilizers[Fertilizer],0),MATCH(I$69,Fertilizers[#Headers],0))/100,0)</f>
        <v>0</v>
      </c>
      <c r="J28" s="54">
        <f>IFERROR($D20*INDEX(Fertilizers[#Data],MATCH($A20,Fertilizers[Fertilizer],0),MATCH(J$69,Fertilizers[#Headers],0))/100,0)</f>
        <v>0</v>
      </c>
      <c r="K28" s="54">
        <f>IFERROR($D20*INDEX(Fertilizers[#Data],MATCH($A20,Fertilizers[Fertilizer],0),MATCH(K$69,Fertilizers[#Headers],0))/100,0)</f>
        <v>0</v>
      </c>
      <c r="L28" s="54">
        <f>IFERROR($D20*INDEX(Fertilizers[#Data],MATCH($A20,Fertilizers[Fertilizer],0),MATCH(L$69,Fertilizers[#Headers],0))/100,0)</f>
        <v>0</v>
      </c>
      <c r="M28" s="54">
        <f>IFERROR($D20*INDEX(Fertilizers[#Data],MATCH($A20,Fertilizers[Fertilizer],0),MATCH(M$69,Fertilizers[#Headers],0))/100,0)</f>
        <v>0</v>
      </c>
      <c r="N28" s="54">
        <f>IFERROR($D20*INDEX(Fertilizers[#Data],MATCH($A20,Fertilizers[Fertilizer],0),MATCH(N$69,Fertilizers[#Headers],0))/100,0)</f>
        <v>0</v>
      </c>
      <c r="O28" s="54">
        <f>IFERROR($D20*INDEX(Fertilizers[#Data],MATCH($A20,Fertilizers[Fertilizer],0),MATCH(O$69,Fertilizers[#Headers],0))/100,0)</f>
        <v>0</v>
      </c>
      <c r="P28" s="54">
        <f>IFERROR($D20*INDEX(Fertilizers[#Data],MATCH($A20,Fertilizers[Fertilizer],0),MATCH(P$69,Fertilizers[#Headers],0))/100,0)</f>
        <v>0</v>
      </c>
      <c r="Q28" s="47"/>
    </row>
    <row r="29" spans="1:19">
      <c r="A29" s="47" t="str">
        <f>IF($A21="","(none selected)",$A21)</f>
        <v>(none selected)</v>
      </c>
      <c r="B29" s="54">
        <f>IFERROR($D21*INDEX(Fertilizers[#Data],MATCH($A21,Fertilizers[Fertilizer],0),MATCH(B$69,Fertilizers[#Headers],0))/100,0)</f>
        <v>0</v>
      </c>
      <c r="C29" s="54">
        <f>IFERROR($D21*INDEX(Fertilizers[#Data],MATCH($A21,Fertilizers[Fertilizer],0),MATCH(C$69,Fertilizers[#Headers],0))/100,0)</f>
        <v>0</v>
      </c>
      <c r="D29" s="54">
        <f>IFERROR($D21*INDEX(Fertilizers[#Data],MATCH($A21,Fertilizers[Fertilizer],0),MATCH(D$69,Fertilizers[#Headers],0))/100,0)</f>
        <v>0</v>
      </c>
      <c r="E29" s="54">
        <f>IFERROR($D21*INDEX(Fertilizers[#Data],MATCH($A21,Fertilizers[Fertilizer],0),MATCH(E$69,Fertilizers[#Headers],0))/100,0)</f>
        <v>0</v>
      </c>
      <c r="F29" s="54">
        <f>IFERROR($D21*INDEX(Fertilizers[#Data],MATCH($A21,Fertilizers[Fertilizer],0),MATCH(F$69,Fertilizers[#Headers],0))/100,0)</f>
        <v>0</v>
      </c>
      <c r="G29" s="54">
        <f>IFERROR($D21*INDEX(Fertilizers[#Data],MATCH($A21,Fertilizers[Fertilizer],0),MATCH(G$69,Fertilizers[#Headers],0))/100,0)</f>
        <v>0</v>
      </c>
      <c r="H29" s="54">
        <f>IFERROR($D21*INDEX(Fertilizers[#Data],MATCH($A21,Fertilizers[Fertilizer],0),MATCH(H$69,Fertilizers[#Headers],0))/100,0)</f>
        <v>0</v>
      </c>
      <c r="I29" s="54">
        <f>IFERROR($D21*INDEX(Fertilizers[#Data],MATCH($A21,Fertilizers[Fertilizer],0),MATCH(I$69,Fertilizers[#Headers],0))/100,0)</f>
        <v>0</v>
      </c>
      <c r="J29" s="54">
        <f>IFERROR($D21*INDEX(Fertilizers[#Data],MATCH($A21,Fertilizers[Fertilizer],0),MATCH(J$69,Fertilizers[#Headers],0))/100,0)</f>
        <v>0</v>
      </c>
      <c r="K29" s="54">
        <f>IFERROR($D21*INDEX(Fertilizers[#Data],MATCH($A21,Fertilizers[Fertilizer],0),MATCH(K$69,Fertilizers[#Headers],0))/100,0)</f>
        <v>0</v>
      </c>
      <c r="L29" s="54">
        <f>IFERROR($D21*INDEX(Fertilizers[#Data],MATCH($A21,Fertilizers[Fertilizer],0),MATCH(L$69,Fertilizers[#Headers],0))/100,0)</f>
        <v>0</v>
      </c>
      <c r="M29" s="54">
        <f>IFERROR($D21*INDEX(Fertilizers[#Data],MATCH($A21,Fertilizers[Fertilizer],0),MATCH(M$69,Fertilizers[#Headers],0))/100,0)</f>
        <v>0</v>
      </c>
      <c r="N29" s="54">
        <f>IFERROR($D21*INDEX(Fertilizers[#Data],MATCH($A21,Fertilizers[Fertilizer],0),MATCH(N$69,Fertilizers[#Headers],0))/100,0)</f>
        <v>0</v>
      </c>
      <c r="O29" s="54">
        <f>IFERROR($D21*INDEX(Fertilizers[#Data],MATCH($A21,Fertilizers[Fertilizer],0),MATCH(O$69,Fertilizers[#Headers],0))/100,0)</f>
        <v>0</v>
      </c>
      <c r="P29" s="54">
        <f>IFERROR($D21*INDEX(Fertilizers[#Data],MATCH($A21,Fertilizers[Fertilizer],0),MATCH(P$69,Fertilizers[#Headers],0))/100,0)</f>
        <v>0</v>
      </c>
      <c r="Q29" s="47"/>
    </row>
    <row r="30" spans="1:19">
      <c r="A30" s="47" t="str">
        <f>IF($A22="","(none selected)",$A22)</f>
        <v>(none selected)</v>
      </c>
      <c r="B30" s="54">
        <f>IFERROR($D22*INDEX(Fertilizers[#Data],MATCH($A22,Fertilizers[Fertilizer],0),MATCH(B$69,Fertilizers[#Headers],0))/100,0)</f>
        <v>0</v>
      </c>
      <c r="C30" s="54">
        <f>IFERROR($D22*INDEX(Fertilizers[#Data],MATCH($A22,Fertilizers[Fertilizer],0),MATCH(C$69,Fertilizers[#Headers],0))/100,0)</f>
        <v>0</v>
      </c>
      <c r="D30" s="54">
        <f>IFERROR($D22*INDEX(Fertilizers[#Data],MATCH($A22,Fertilizers[Fertilizer],0),MATCH(D$69,Fertilizers[#Headers],0))/100,0)</f>
        <v>0</v>
      </c>
      <c r="E30" s="54">
        <f>IFERROR($D22*INDEX(Fertilizers[#Data],MATCH($A22,Fertilizers[Fertilizer],0),MATCH(E$69,Fertilizers[#Headers],0))/100,0)</f>
        <v>0</v>
      </c>
      <c r="F30" s="54">
        <f>IFERROR($D22*INDEX(Fertilizers[#Data],MATCH($A22,Fertilizers[Fertilizer],0),MATCH(F$69,Fertilizers[#Headers],0))/100,0)</f>
        <v>0</v>
      </c>
      <c r="G30" s="54">
        <f>IFERROR($D22*INDEX(Fertilizers[#Data],MATCH($A22,Fertilizers[Fertilizer],0),MATCH(G$69,Fertilizers[#Headers],0))/100,0)</f>
        <v>0</v>
      </c>
      <c r="H30" s="54">
        <f>IFERROR($D22*INDEX(Fertilizers[#Data],MATCH($A22,Fertilizers[Fertilizer],0),MATCH(H$69,Fertilizers[#Headers],0))/100,0)</f>
        <v>0</v>
      </c>
      <c r="I30" s="54">
        <f>IFERROR($D22*INDEX(Fertilizers[#Data],MATCH($A22,Fertilizers[Fertilizer],0),MATCH(I$69,Fertilizers[#Headers],0))/100,0)</f>
        <v>0</v>
      </c>
      <c r="J30" s="54">
        <f>IFERROR($D22*INDEX(Fertilizers[#Data],MATCH($A22,Fertilizers[Fertilizer],0),MATCH(J$69,Fertilizers[#Headers],0))/100,0)</f>
        <v>0</v>
      </c>
      <c r="K30" s="54">
        <f>IFERROR($D22*INDEX(Fertilizers[#Data],MATCH($A22,Fertilizers[Fertilizer],0),MATCH(K$69,Fertilizers[#Headers],0))/100,0)</f>
        <v>0</v>
      </c>
      <c r="L30" s="54">
        <f>IFERROR($D22*INDEX(Fertilizers[#Data],MATCH($A22,Fertilizers[Fertilizer],0),MATCH(L$69,Fertilizers[#Headers],0))/100,0)</f>
        <v>0</v>
      </c>
      <c r="M30" s="54">
        <f>IFERROR($D22*INDEX(Fertilizers[#Data],MATCH($A22,Fertilizers[Fertilizer],0),MATCH(M$69,Fertilizers[#Headers],0))/100,0)</f>
        <v>0</v>
      </c>
      <c r="N30" s="54">
        <f>IFERROR($D22*INDEX(Fertilizers[#Data],MATCH($A22,Fertilizers[Fertilizer],0),MATCH(N$69,Fertilizers[#Headers],0))/100,0)</f>
        <v>0</v>
      </c>
      <c r="O30" s="54">
        <f>IFERROR($D22*INDEX(Fertilizers[#Data],MATCH($A22,Fertilizers[Fertilizer],0),MATCH(O$69,Fertilizers[#Headers],0))/100,0)</f>
        <v>0</v>
      </c>
      <c r="P30" s="54">
        <f>IFERROR($D22*INDEX(Fertilizers[#Data],MATCH($A22,Fertilizers[Fertilizer],0),MATCH(P$69,Fertilizers[#Headers],0))/100,0)</f>
        <v>0</v>
      </c>
      <c r="Q30" s="47"/>
    </row>
    <row r="31" spans="1:19">
      <c r="A31" s="47" t="str">
        <f>IF($A23="","(none selected)",$A23)</f>
        <v>(none selected)</v>
      </c>
      <c r="B31" s="54">
        <f>IFERROR($D23*INDEX(Fertilizers[#Data],MATCH($A23,Fertilizers[Fertilizer],0),MATCH(B$69,Fertilizers[#Headers],0))/100,0)</f>
        <v>0</v>
      </c>
      <c r="C31" s="54">
        <f>IFERROR($D23*INDEX(Fertilizers[#Data],MATCH($A23,Fertilizers[Fertilizer],0),MATCH(C$69,Fertilizers[#Headers],0))/100,0)</f>
        <v>0</v>
      </c>
      <c r="D31" s="54">
        <f>IFERROR($D23*INDEX(Fertilizers[#Data],MATCH($A23,Fertilizers[Fertilizer],0),MATCH(D$69,Fertilizers[#Headers],0))/100,0)</f>
        <v>0</v>
      </c>
      <c r="E31" s="54">
        <f>IFERROR($D23*INDEX(Fertilizers[#Data],MATCH($A23,Fertilizers[Fertilizer],0),MATCH(E$69,Fertilizers[#Headers],0))/100,0)</f>
        <v>0</v>
      </c>
      <c r="F31" s="54">
        <f>IFERROR($D23*INDEX(Fertilizers[#Data],MATCH($A23,Fertilizers[Fertilizer],0),MATCH(F$69,Fertilizers[#Headers],0))/100,0)</f>
        <v>0</v>
      </c>
      <c r="G31" s="54">
        <f>IFERROR($D23*INDEX(Fertilizers[#Data],MATCH($A23,Fertilizers[Fertilizer],0),MATCH(G$69,Fertilizers[#Headers],0))/100,0)</f>
        <v>0</v>
      </c>
      <c r="H31" s="54">
        <f>IFERROR($D23*INDEX(Fertilizers[#Data],MATCH($A23,Fertilizers[Fertilizer],0),MATCH(H$69,Fertilizers[#Headers],0))/100,0)</f>
        <v>0</v>
      </c>
      <c r="I31" s="54">
        <f>IFERROR($D23*INDEX(Fertilizers[#Data],MATCH($A23,Fertilizers[Fertilizer],0),MATCH(I$69,Fertilizers[#Headers],0))/100,0)</f>
        <v>0</v>
      </c>
      <c r="J31" s="54">
        <f>IFERROR($D23*INDEX(Fertilizers[#Data],MATCH($A23,Fertilizers[Fertilizer],0),MATCH(J$69,Fertilizers[#Headers],0))/100,0)</f>
        <v>0</v>
      </c>
      <c r="K31" s="54">
        <f>IFERROR($D23*INDEX(Fertilizers[#Data],MATCH($A23,Fertilizers[Fertilizer],0),MATCH(K$69,Fertilizers[#Headers],0))/100,0)</f>
        <v>0</v>
      </c>
      <c r="L31" s="54">
        <f>IFERROR($D23*INDEX(Fertilizers[#Data],MATCH($A23,Fertilizers[Fertilizer],0),MATCH(L$69,Fertilizers[#Headers],0))/100,0)</f>
        <v>0</v>
      </c>
      <c r="M31" s="54">
        <f>IFERROR($D23*INDEX(Fertilizers[#Data],MATCH($A23,Fertilizers[Fertilizer],0),MATCH(M$69,Fertilizers[#Headers],0))/100,0)</f>
        <v>0</v>
      </c>
      <c r="N31" s="54">
        <f>IFERROR($D23*INDEX(Fertilizers[#Data],MATCH($A23,Fertilizers[Fertilizer],0),MATCH(N$69,Fertilizers[#Headers],0))/100,0)</f>
        <v>0</v>
      </c>
      <c r="O31" s="54">
        <f>IFERROR($D23*INDEX(Fertilizers[#Data],MATCH($A23,Fertilizers[Fertilizer],0),MATCH(O$69,Fertilizers[#Headers],0))/100,0)</f>
        <v>0</v>
      </c>
      <c r="P31" s="54">
        <f>IFERROR($D23*INDEX(Fertilizers[#Data],MATCH($A23,Fertilizers[Fertilizer],0),MATCH(P$69,Fertilizers[#Headers],0))/100,0)</f>
        <v>0</v>
      </c>
      <c r="Q31" s="47"/>
    </row>
    <row r="32" spans="1:19">
      <c r="A32" s="47" t="s">
        <v>228</v>
      </c>
      <c r="B32" s="54">
        <f>B8</f>
        <v>0</v>
      </c>
      <c r="C32" s="54">
        <f>C8</f>
        <v>0</v>
      </c>
      <c r="D32" s="54">
        <f>D8</f>
        <v>0</v>
      </c>
      <c r="E32" s="54">
        <f>E8</f>
        <v>0</v>
      </c>
      <c r="F32" s="54">
        <f>F8</f>
        <v>0</v>
      </c>
      <c r="G32" s="54">
        <f>G8</f>
        <v>0</v>
      </c>
      <c r="H32" s="54">
        <f>H8</f>
        <v>0</v>
      </c>
      <c r="I32" s="54">
        <f>I8</f>
        <v>0</v>
      </c>
      <c r="J32" s="54">
        <f>J8*$B$65</f>
        <v>0</v>
      </c>
      <c r="K32" s="54">
        <f>K8</f>
        <v>0</v>
      </c>
      <c r="L32" s="54">
        <f>L8</f>
        <v>0</v>
      </c>
      <c r="M32" s="54">
        <f>M8</f>
        <v>0</v>
      </c>
      <c r="N32" s="54">
        <f>N8</f>
        <v>0</v>
      </c>
      <c r="O32" s="54">
        <f>O8</f>
        <v>0</v>
      </c>
      <c r="P32" s="54">
        <f>P8</f>
        <v>0</v>
      </c>
      <c r="Q32" s="47"/>
    </row>
    <row r="33" spans="1:19">
      <c r="A33" s="47" t="s">
        <v>229</v>
      </c>
      <c r="B33" s="55">
        <f>SUM(B27:B32)</f>
        <v>20.399999999999999</v>
      </c>
      <c r="C33" s="55">
        <f>SUM(C27:C32)</f>
        <v>0</v>
      </c>
      <c r="D33" s="55">
        <f>SUM(D27:D32)</f>
        <v>0.3468</v>
      </c>
      <c r="E33" s="55">
        <f>SUM(E27:E32)</f>
        <v>20.053199999999997</v>
      </c>
      <c r="F33" s="55">
        <f>SUM(F27:F32)</f>
        <v>2.9579999999999997</v>
      </c>
      <c r="G33" s="55">
        <f>SUM(G27:G32)</f>
        <v>22.582799999999999</v>
      </c>
      <c r="H33" s="55">
        <f>SUM(H27:H32)</f>
        <v>11.8932</v>
      </c>
      <c r="I33" s="55">
        <f>SUM(I27:I32)</f>
        <v>3.4067999999999996</v>
      </c>
      <c r="J33" s="55">
        <f>SUM(J27:J32)</f>
        <v>0</v>
      </c>
      <c r="K33" s="55">
        <f>SUM(K27:K32)</f>
        <v>3.4680000000000002E-2</v>
      </c>
      <c r="L33" s="55">
        <f>SUM(L27:L32)</f>
        <v>3.4680000000000002E-2</v>
      </c>
      <c r="M33" s="55">
        <f>SUM(M27:M32)</f>
        <v>0.255</v>
      </c>
      <c r="N33" s="55">
        <f>SUM(N27:N32)</f>
        <v>8.5679999999999992E-2</v>
      </c>
      <c r="O33" s="55">
        <f>SUM(O27:O32)</f>
        <v>2.0399999999999997E-3</v>
      </c>
      <c r="P33" s="55">
        <f>SUM(P27:P32)</f>
        <v>5.9159999999999997E-2</v>
      </c>
      <c r="Q33" s="56">
        <f>IF(N(B33)&gt;0,G33/B33,"")</f>
        <v>1.107</v>
      </c>
      <c r="R33" s="46" t="s">
        <v>230</v>
      </c>
    </row>
    <row r="34" spans="1:19">
      <c r="A34" s="47" t="s">
        <v>231</v>
      </c>
      <c r="B34" s="54">
        <f>IF($B$11="","",IFERROR(IF(SUMPRODUCT((Nutrients_1[For]=$B$11)*(INDEX(Nutrients_1[#Data],0,MATCH(B$70,Nutrients_1[#Headers],0))&lt;&gt;""))=0,"",SUMPRODUCT((Nutrients_1[For]=$B$11)*("0"&amp;INDEX(Nutrients_1[#Data],0,MATCH(B$70,Nutrients_1[#Headers],0))))/SUMPRODUCT((Nutrients_1[For]=$B$11)*(INDEX(Nutrients_1[#Data],0,MATCH(B$70,Nutrients_1[#Headers],0))&lt;&gt;""))),""))</f>
        <v>150</v>
      </c>
      <c r="C34" s="47"/>
      <c r="D34" s="47"/>
      <c r="E34" s="47"/>
      <c r="F34" s="54">
        <f>IF($B$11="","",IFERROR(IF(SUMPRODUCT((Nutrients_1[For]=$B$11)*(INDEX(Nutrients_1[#Data],0,MATCH(F$70,Nutrients_1[#Headers],0))&lt;&gt;""))=0,"",SUMPRODUCT((Nutrients_1[For]=$B$11)*("0"&amp;INDEX(Nutrients_1[#Data],0,MATCH(F$70,Nutrients_1[#Headers],0))))/SUMPRODUCT((Nutrients_1[For]=$B$11)*(INDEX(Nutrients_1[#Data],0,MATCH(F$70,Nutrients_1[#Headers],0))&lt;&gt;""))),""))</f>
        <v>31</v>
      </c>
      <c r="G34" s="54">
        <f>IF($B$11="","",IFERROR(IF(SUMPRODUCT((Nutrients_1[For]=$B$11)*(INDEX(Nutrients_1[#Data],0,MATCH(G$70,Nutrients_1[#Headers],0))&lt;&gt;""))=0,"",SUMPRODUCT((Nutrients_1[For]=$B$11)*("0"&amp;INDEX(Nutrients_1[#Data],0,MATCH(G$70,Nutrients_1[#Headers],0))))/SUMPRODUCT((Nutrients_1[For]=$B$11)*(INDEX(Nutrients_1[#Data],0,MATCH(G$70,Nutrients_1[#Headers],0))&lt;&gt;""))),""))</f>
        <v>210</v>
      </c>
      <c r="H34" s="54">
        <f>IF($B$11="","",IFERROR(IF(SUMPRODUCT((Nutrients_1[For]=$B$11)*(INDEX(Nutrients_1[#Data],0,MATCH(H$70,Nutrients_1[#Headers],0))&lt;&gt;""))=0,"",SUMPRODUCT((Nutrients_1[For]=$B$11)*("0"&amp;INDEX(Nutrients_1[#Data],0,MATCH(H$70,Nutrients_1[#Headers],0))))/SUMPRODUCT((Nutrients_1[For]=$B$11)*(INDEX(Nutrients_1[#Data],0,MATCH(H$70,Nutrients_1[#Headers],0))&lt;&gt;""))),""))</f>
        <v>90</v>
      </c>
      <c r="I34" s="54">
        <f>IF($B$11="","",IFERROR(IF(SUMPRODUCT((Nutrients_1[For]=$B$11)*(INDEX(Nutrients_1[#Data],0,MATCH(I$70,Nutrients_1[#Headers],0))&lt;&gt;""))=0,"",SUMPRODUCT((Nutrients_1[For]=$B$11)*("0"&amp;INDEX(Nutrients_1[#Data],0,MATCH(I$70,Nutrients_1[#Headers],0))))/SUMPRODUCT((Nutrients_1[For]=$B$11)*(INDEX(Nutrients_1[#Data],0,MATCH(I$70,Nutrients_1[#Headers],0))&lt;&gt;""))),""))</f>
        <v>24</v>
      </c>
      <c r="J34" s="54">
        <f>IF($B$11="","",IFERROR(IF(SUMPRODUCT((Nutrients_1[For]=$B$11)*(INDEX(Nutrients_1[#Data],0,MATCH(J$70,Nutrients_1[#Headers],0))&lt;&gt;""))=0,"",SUMPRODUCT((Nutrients_1[For]=$B$11)*("0"&amp;INDEX(Nutrients_1[#Data],0,MATCH(J$70,Nutrients_1[#Headers],0))))/SUMPRODUCT((Nutrients_1[For]=$B$11)*(INDEX(Nutrients_1[#Data],0,MATCH(J$70,Nutrients_1[#Headers],0))&lt;&gt;""))),""))</f>
        <v>0</v>
      </c>
      <c r="K34" s="54">
        <f>IF($B$11="","",IFERROR(IF(SUMPRODUCT((Nutrients_1[For]=$B$11)*(INDEX(Nutrients_1[#Data],0,MATCH(K$70,Nutrients_1[#Headers],0))&lt;&gt;""))=0,"",SUMPRODUCT((Nutrients_1[For]=$B$11)*("0"&amp;INDEX(Nutrients_1[#Data],0,MATCH(K$70,Nutrients_1[#Headers],0))))/SUMPRODUCT((Nutrients_1[For]=$B$11)*(INDEX(Nutrients_1[#Data],0,MATCH(K$70,Nutrients_1[#Headers],0))&lt;&gt;""))),""))</f>
        <v>0.16</v>
      </c>
      <c r="L34" s="54">
        <f>IF($B$11="","",IFERROR(IF(SUMPRODUCT((Nutrients_1[For]=$B$11)*(INDEX(Nutrients_1[#Data],0,MATCH(L$70,Nutrients_1[#Headers],0))&lt;&gt;""))=0,"",SUMPRODUCT((Nutrients_1[For]=$B$11)*("0"&amp;INDEX(Nutrients_1[#Data],0,MATCH(L$70,Nutrients_1[#Headers],0))))/SUMPRODUCT((Nutrients_1[For]=$B$11)*(INDEX(Nutrients_1[#Data],0,MATCH(L$70,Nutrients_1[#Headers],0))&lt;&gt;""))),""))</f>
        <v>0.02</v>
      </c>
      <c r="M34" s="54">
        <f>IF($B$11="","",IFERROR(IF(SUMPRODUCT((Nutrients_1[For]=$B$11)*(INDEX(Nutrients_1[#Data],0,MATCH(M$70,Nutrients_1[#Headers],0))&lt;&gt;""))=0,"",SUMPRODUCT((Nutrients_1[For]=$B$11)*("0"&amp;INDEX(Nutrients_1[#Data],0,MATCH(M$70,Nutrients_1[#Headers],0))))/SUMPRODUCT((Nutrients_1[For]=$B$11)*(INDEX(Nutrients_1[#Data],0,MATCH(M$70,Nutrients_1[#Headers],0))&lt;&gt;""))),""))</f>
        <v>1</v>
      </c>
      <c r="N34" s="54">
        <f>IF($B$11="","",IFERROR(IF(SUMPRODUCT((Nutrients_1[For]=$B$11)*(INDEX(Nutrients_1[#Data],0,MATCH(N$70,Nutrients_1[#Headers],0))&lt;&gt;""))=0,"",SUMPRODUCT((Nutrients_1[For]=$B$11)*("0"&amp;INDEX(Nutrients_1[#Data],0,MATCH(N$70,Nutrients_1[#Headers],0))))/SUMPRODUCT((Nutrients_1[For]=$B$11)*(INDEX(Nutrients_1[#Data],0,MATCH(N$70,Nutrients_1[#Headers],0))&lt;&gt;""))),""))</f>
        <v>0.25</v>
      </c>
      <c r="O34" s="54">
        <f>IF($B$11="","",IFERROR(IF(SUMPRODUCT((Nutrients_1[For]=$B$11)*(INDEX(Nutrients_1[#Data],0,MATCH(O$70,Nutrients_1[#Headers],0))&lt;&gt;""))=0,"",SUMPRODUCT((Nutrients_1[For]=$B$11)*("0"&amp;INDEX(Nutrients_1[#Data],0,MATCH(O$70,Nutrients_1[#Headers],0))))/SUMPRODUCT((Nutrients_1[For]=$B$11)*(INDEX(Nutrients_1[#Data],0,MATCH(O$70,Nutrients_1[#Headers],0))&lt;&gt;""))),""))</f>
        <v>0.02</v>
      </c>
      <c r="P34" s="54">
        <f>IF($B$11="","",IFERROR(IF(SUMPRODUCT((Nutrients_1[For]=$B$11)*(INDEX(Nutrients_1[#Data],0,MATCH(P$70,Nutrients_1[#Headers],0))&lt;&gt;""))=0,"",SUMPRODUCT((Nutrients_1[For]=$B$11)*("0"&amp;INDEX(Nutrients_1[#Data],0,MATCH(P$70,Nutrients_1[#Headers],0))))/SUMPRODUCT((Nutrients_1[For]=$B$11)*(INDEX(Nutrients_1[#Data],0,MATCH(P$70,Nutrients_1[#Headers],0))&lt;&gt;""))),""))</f>
        <v>0.13</v>
      </c>
      <c r="Q34" s="52">
        <f>IF(AND(ISNUMBER(G34),ISNUMBER(B34)),IF(B34&gt;0,G34/B34,""),"")</f>
        <v>1.4</v>
      </c>
    </row>
    <row r="35" spans="1:19">
      <c r="A35" s="47" t="s">
        <v>232</v>
      </c>
      <c r="B35" s="57">
        <f>IF(AND(ISNUMBER(B34),N(B34)&gt;0),B33/B34*100,"")</f>
        <v>13.599999999999998</v>
      </c>
      <c r="C35" s="47"/>
      <c r="D35" s="47"/>
      <c r="E35" s="47"/>
      <c r="F35" s="57">
        <f>IF(AND(ISNUMBER(F34),N(F34)&gt;0),F33/F34*100,"")</f>
        <v>9.5419354838709669</v>
      </c>
      <c r="G35" s="57">
        <f>IF(AND(ISNUMBER(G34),N(G34)&gt;0),G33/G34*100,"")</f>
        <v>10.753714285714285</v>
      </c>
      <c r="H35" s="57">
        <f>IF(AND(ISNUMBER(H34),N(H34)&gt;0),H33/H34*100,"")</f>
        <v>13.214666666666666</v>
      </c>
      <c r="I35" s="57">
        <f>IF(AND(ISNUMBER(I34),N(I34)&gt;0),I33/I34*100,"")</f>
        <v>14.194999999999999</v>
      </c>
      <c r="J35" s="57" t="str">
        <f>IF(AND(ISNUMBER(J34),N(J34)&gt;0),J33/J34*100,"")</f>
        <v/>
      </c>
      <c r="K35" s="57">
        <f>IF(AND(ISNUMBER(K34),N(K34)&gt;0),K33/K34*100,"")</f>
        <v>21.675000000000001</v>
      </c>
      <c r="L35" s="57">
        <f>IF(AND(ISNUMBER(L34),N(L34)&gt;0),L33/L34*100,"")</f>
        <v>173.4</v>
      </c>
      <c r="M35" s="57">
        <f>IF(AND(ISNUMBER(M34),N(M34)&gt;0),M33/M34*100,"")</f>
        <v>25.5</v>
      </c>
      <c r="N35" s="57">
        <f>IF(AND(ISNUMBER(N34),N(N34)&gt;0),N33/N34*100,"")</f>
        <v>34.271999999999998</v>
      </c>
      <c r="O35" s="57">
        <f>IF(AND(ISNUMBER(O34),N(O34)&gt;0),O33/O34*100,"")</f>
        <v>10.199999999999998</v>
      </c>
      <c r="P35" s="57">
        <f>IF(AND(ISNUMBER(P34),N(P34)&gt;0),P33/P34*100,"")</f>
        <v>45.507692307692302</v>
      </c>
      <c r="Q35" s="47"/>
    </row>
    <row r="37" spans="1:19">
      <c r="A37" s="49" t="s">
        <v>233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1:19" ht="45.75">
      <c r="A38" s="50" t="s">
        <v>61</v>
      </c>
      <c r="B38" s="50" t="s">
        <v>234</v>
      </c>
      <c r="C38" s="50" t="s">
        <v>235</v>
      </c>
    </row>
    <row r="39" spans="1:19">
      <c r="A39" s="47" t="str">
        <f>IF($A19="","",$A19)</f>
        <v>12-4-16</v>
      </c>
      <c r="B39" s="55">
        <f>IF(OR($A19="",$B19=""),"",IFERROR($B19*10/$B$12,""))</f>
        <v>1.7</v>
      </c>
      <c r="C39" s="55">
        <f>IF(B39="","",B39*$B$63/$B$64)</f>
        <v>0.22699507927829418</v>
      </c>
    </row>
    <row r="40" spans="1:19">
      <c r="A40" s="47" t="str">
        <f>IF($A20="","",$A20)</f>
        <v/>
      </c>
      <c r="B40" s="55" t="str">
        <f>IF(OR($A20="",$B20=""),"",IFERROR($B20*10/$B$12,""))</f>
        <v/>
      </c>
      <c r="C40" s="55" t="str">
        <f>IF(B40="","",B40*$B$63/$B$64)</f>
        <v/>
      </c>
    </row>
    <row r="41" spans="1:19">
      <c r="A41" s="47" t="str">
        <f>IF($A21="","",$A21)</f>
        <v/>
      </c>
      <c r="B41" s="55" t="str">
        <f>IF(OR($A21="",$B21=""),"",IFERROR($B21*10/$B$12,""))</f>
        <v/>
      </c>
      <c r="C41" s="55" t="str">
        <f>IF(B41="","",B41*$B$63/$B$64)</f>
        <v/>
      </c>
    </row>
    <row r="42" spans="1:19">
      <c r="A42" s="47" t="str">
        <f>IF($A22="","",$A22)</f>
        <v/>
      </c>
      <c r="B42" s="55" t="str">
        <f>IF(OR($A22="",$B22=""),"",IFERROR($B22*10/$B$12,""))</f>
        <v/>
      </c>
      <c r="C42" s="55" t="str">
        <f>IF(B42="","",B42*$B$63/$B$64)</f>
        <v/>
      </c>
    </row>
    <row r="43" spans="1:19">
      <c r="A43" s="47" t="str">
        <f>IF($A23="","",$A23)</f>
        <v/>
      </c>
      <c r="B43" s="55" t="str">
        <f>IF(OR($A23="",$B23=""),"",IFERROR($B23*10/$B$12,""))</f>
        <v/>
      </c>
      <c r="C43" s="55" t="str">
        <f>IF(B43="","",B43*$B$63/$B$64)</f>
        <v/>
      </c>
    </row>
    <row r="45" spans="1:19">
      <c r="A45" s="49" t="str">
        <f>"Result 2: Recipes to make stock solutions when using injectors set at 1:"&amp;$B$66</f>
        <v>Result 2: Recipes to make stock solutions when using injectors set at 1:100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1:19" ht="45.75">
      <c r="A46" s="50" t="s">
        <v>61</v>
      </c>
      <c r="B46" s="50" t="s">
        <v>258</v>
      </c>
      <c r="C46" s="50" t="s">
        <v>259</v>
      </c>
      <c r="D46" s="50" t="s">
        <v>260</v>
      </c>
      <c r="E46" s="50" t="s">
        <v>261</v>
      </c>
      <c r="F46" s="50" t="s">
        <v>262</v>
      </c>
    </row>
    <row r="47" spans="1:19">
      <c r="A47" s="47" t="str">
        <f>IF($A19="","",$A19)</f>
        <v>12-4-16</v>
      </c>
      <c r="B47" s="53" t="s">
        <v>263</v>
      </c>
      <c r="C47" s="55">
        <f>IF(OR($A19="",$B19=""),"",IFERROR($B19/$B$12*$B$66,""))</f>
        <v>17</v>
      </c>
      <c r="D47" s="55">
        <f>IF(C47="","",C47*10)</f>
        <v>170</v>
      </c>
      <c r="E47" s="55">
        <f>IF(D47="","",D47*$B$63/$B$64)</f>
        <v>22.699507927829419</v>
      </c>
      <c r="F47" s="55">
        <f>IF(E47="","",E47/16/10)</f>
        <v>0.14187192454893388</v>
      </c>
    </row>
    <row r="48" spans="1:19">
      <c r="A48" s="47" t="str">
        <f>IF($A20="","",$A20)</f>
        <v/>
      </c>
      <c r="B48" s="53" t="s">
        <v>221</v>
      </c>
      <c r="C48" s="55" t="str">
        <f>IF(OR($A20="",$B20=""),"",IFERROR($B20/$B$12*$B$66,""))</f>
        <v/>
      </c>
      <c r="D48" s="55" t="str">
        <f>IF(C48="","",C48*10)</f>
        <v/>
      </c>
      <c r="E48" s="55" t="str">
        <f>IF(D48="","",D48*$B$63/$B$64)</f>
        <v/>
      </c>
      <c r="F48" s="55" t="str">
        <f>IF(E48="","",E48/16/10)</f>
        <v/>
      </c>
    </row>
    <row r="49" spans="1:19">
      <c r="A49" s="47" t="str">
        <f>IF($A21="","",$A21)</f>
        <v/>
      </c>
      <c r="B49" s="53" t="s">
        <v>264</v>
      </c>
      <c r="C49" s="55" t="str">
        <f>IF(OR($A21="",$B21=""),"",IFERROR($B21/$B$12*$B$66,""))</f>
        <v/>
      </c>
      <c r="D49" s="55" t="str">
        <f>IF(C49="","",C49*10)</f>
        <v/>
      </c>
      <c r="E49" s="55" t="str">
        <f>IF(D49="","",D49*$B$63/$B$64)</f>
        <v/>
      </c>
      <c r="F49" s="55" t="str">
        <f>IF(E49="","",E49/16/10)</f>
        <v/>
      </c>
    </row>
    <row r="50" spans="1:19">
      <c r="A50" s="47" t="str">
        <f>IF($A22="","",$A22)</f>
        <v/>
      </c>
      <c r="B50" s="53" t="s">
        <v>265</v>
      </c>
      <c r="C50" s="55" t="str">
        <f>IF(OR($A22="",$B22=""),"",IFERROR($B22/$B$12*$B$66,""))</f>
        <v/>
      </c>
      <c r="D50" s="55" t="str">
        <f>IF(C50="","",C50*10)</f>
        <v/>
      </c>
      <c r="E50" s="55" t="str">
        <f>IF(D50="","",D50*$B$63/$B$64)</f>
        <v/>
      </c>
      <c r="F50" s="55" t="str">
        <f>IF(E50="","",E50/16/10)</f>
        <v/>
      </c>
    </row>
    <row r="51" spans="1:19">
      <c r="A51" s="47" t="str">
        <f>IF($A23="","",$A23)</f>
        <v/>
      </c>
      <c r="B51" s="53" t="s">
        <v>266</v>
      </c>
      <c r="C51" s="55" t="str">
        <f>IF(OR($A23="",$B23=""),"",IFERROR($B23/$B$12*$B$66,""))</f>
        <v/>
      </c>
      <c r="D51" s="55" t="str">
        <f>IF(C51="","",C51*10)</f>
        <v/>
      </c>
      <c r="E51" s="55" t="str">
        <f>IF(D51="","",D51*$B$63/$B$64)</f>
        <v/>
      </c>
      <c r="F51" s="55" t="str">
        <f>IF(E51="","",E51/16/10)</f>
        <v/>
      </c>
    </row>
    <row r="53" spans="1:19">
      <c r="A53" s="49" t="s">
        <v>267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1:19" ht="30.75">
      <c r="A54" s="50" t="s">
        <v>206</v>
      </c>
      <c r="B54" s="50" t="s">
        <v>268</v>
      </c>
      <c r="C54" s="50" t="s">
        <v>269</v>
      </c>
    </row>
    <row r="55" spans="1:19">
      <c r="A55" s="47" t="str">
        <f>IF($A19="","",$A19)</f>
        <v>12-4-16</v>
      </c>
      <c r="B55" s="58"/>
      <c r="C55" s="59" t="str">
        <f>IF(OR($A19="",$B19="",B55=""),"",IFERROR(B55/1000*$B19*10/$B$12,""))</f>
        <v/>
      </c>
    </row>
    <row r="56" spans="1:19">
      <c r="A56" s="47" t="str">
        <f>IF($A20="","",$A20)</f>
        <v/>
      </c>
      <c r="B56" s="58"/>
      <c r="C56" s="59" t="str">
        <f>IF(OR($A20="",$B20="",B56=""),"",IFERROR(B56/1000*$B20*10/$B$12,""))</f>
        <v/>
      </c>
    </row>
    <row r="57" spans="1:19">
      <c r="A57" s="47" t="str">
        <f>IF($A21="","",$A21)</f>
        <v/>
      </c>
      <c r="B57" s="58"/>
      <c r="C57" s="59" t="str">
        <f>IF(OR($A21="",$B21="",B57=""),"",IFERROR(B57/1000*$B21*10/$B$12,""))</f>
        <v/>
      </c>
    </row>
    <row r="58" spans="1:19">
      <c r="A58" s="47" t="str">
        <f>IF($A22="","",$A22)</f>
        <v/>
      </c>
      <c r="B58" s="58"/>
      <c r="C58" s="59" t="str">
        <f>IF(OR($A22="",$B22="",B58=""),"",IFERROR(B58/1000*$B22*10/$B$12,""))</f>
        <v/>
      </c>
    </row>
    <row r="59" spans="1:19">
      <c r="A59" s="47" t="str">
        <f>IF($A23="","",$A23)</f>
        <v/>
      </c>
      <c r="B59" s="58"/>
      <c r="C59" s="59" t="str">
        <f>IF(OR($A23="",$B23="",B59=""),"",IFERROR(B59/1000*$B23*10/$B$12,""))</f>
        <v/>
      </c>
    </row>
    <row r="60" spans="1:19">
      <c r="A60" s="47" t="s">
        <v>270</v>
      </c>
      <c r="C60" s="59">
        <f>SUM(C55:C59)</f>
        <v>0</v>
      </c>
    </row>
    <row r="62" spans="1:19">
      <c r="A62" s="49" t="s">
        <v>271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1:19">
      <c r="A63" s="47" t="s">
        <v>272</v>
      </c>
      <c r="B63" s="54">
        <v>3.7854100000000002</v>
      </c>
    </row>
    <row r="64" spans="1:19">
      <c r="A64" s="47" t="s">
        <v>273</v>
      </c>
      <c r="B64" s="54">
        <v>28.349499999999999</v>
      </c>
    </row>
    <row r="65" spans="1:19">
      <c r="A65" s="47" t="s">
        <v>274</v>
      </c>
      <c r="B65" s="54">
        <f>32.06/96.06</f>
        <v>0.33374973974599209</v>
      </c>
    </row>
    <row r="66" spans="1:19">
      <c r="A66" s="47" t="s">
        <v>275</v>
      </c>
      <c r="B66" s="63">
        <v>100</v>
      </c>
    </row>
    <row r="68" spans="1:19">
      <c r="A68" s="49" t="s">
        <v>236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1:19" ht="40.5">
      <c r="A69" s="47" t="s">
        <v>237</v>
      </c>
      <c r="B69" s="60" t="s">
        <v>65</v>
      </c>
      <c r="C69" s="60" t="s">
        <v>68</v>
      </c>
      <c r="D69" s="60" t="s">
        <v>67</v>
      </c>
      <c r="E69" s="60" t="s">
        <v>66</v>
      </c>
      <c r="F69" s="60" t="s">
        <v>69</v>
      </c>
      <c r="G69" s="60" t="s">
        <v>71</v>
      </c>
      <c r="H69" s="60" t="s">
        <v>73</v>
      </c>
      <c r="I69" s="60" t="s">
        <v>74</v>
      </c>
      <c r="J69" s="60" t="s">
        <v>75</v>
      </c>
      <c r="K69" s="60" t="s">
        <v>76</v>
      </c>
      <c r="L69" s="60" t="s">
        <v>77</v>
      </c>
      <c r="M69" s="60" t="s">
        <v>78</v>
      </c>
      <c r="N69" s="60" t="s">
        <v>79</v>
      </c>
      <c r="O69" s="60" t="s">
        <v>80</v>
      </c>
      <c r="P69" s="60" t="s">
        <v>81</v>
      </c>
    </row>
    <row r="70" spans="1:19" ht="27">
      <c r="A70" s="47" t="s">
        <v>238</v>
      </c>
      <c r="B70" s="60" t="s">
        <v>102</v>
      </c>
      <c r="C70" s="60"/>
      <c r="D70" s="60"/>
      <c r="E70" s="60"/>
      <c r="F70" s="60" t="s">
        <v>104</v>
      </c>
      <c r="G70" s="60" t="s">
        <v>106</v>
      </c>
      <c r="H70" s="60" t="s">
        <v>108</v>
      </c>
      <c r="I70" s="60" t="s">
        <v>110</v>
      </c>
      <c r="J70" s="60" t="s">
        <v>28</v>
      </c>
      <c r="K70" s="60" t="s">
        <v>119</v>
      </c>
      <c r="L70" s="60" t="s">
        <v>121</v>
      </c>
      <c r="M70" s="60" t="s">
        <v>113</v>
      </c>
      <c r="N70" s="60" t="s">
        <v>115</v>
      </c>
      <c r="O70" s="60" t="s">
        <v>123</v>
      </c>
      <c r="P70" s="60" t="s">
        <v>117</v>
      </c>
    </row>
    <row r="72" spans="1:19">
      <c r="A72" s="46" t="s">
        <v>239</v>
      </c>
    </row>
    <row r="73" spans="1:19">
      <c r="A73" s="46" t="s">
        <v>240</v>
      </c>
    </row>
    <row r="74" spans="1:19">
      <c r="A74" s="46" t="s">
        <v>241</v>
      </c>
    </row>
  </sheetData>
  <mergeCells count="3">
    <mergeCell ref="B11:D11"/>
    <mergeCell ref="B12:D12"/>
    <mergeCell ref="B13:D13"/>
  </mergeCells>
  <dataValidations count="5">
    <dataValidation type="decimal" operator="greaterThan" allowBlank="1" showErrorMessage="1" errorTitle="Volume" error="Enter a volume greater than 0 liters." sqref="B12" xr:uid="{3350A0C3-08E0-4681-B282-A4B9014D132F}">
      <formula1>0</formula1>
    </dataValidation>
    <dataValidation type="decimal" allowBlank="1" showErrorMessage="1" errorTitle="pH" error="Enter a pH between 0 and 14." sqref="B13" xr:uid="{42A212F8-8529-4650-884E-AC9FCF405225}">
      <formula1>0</formula1>
      <formula2>14</formula2>
    </dataValidation>
    <dataValidation type="decimal" operator="greaterThanOrEqual" allowBlank="1" showErrorMessage="1" errorTitle="Amount" error="Enter an amount of 0 grams or more." sqref="B19:B23" xr:uid="{BCA47256-A19B-4DD5-B46C-2B541272D891}">
      <formula1>0</formula1>
    </dataValidation>
    <dataValidation type="list" allowBlank="1" showInputMessage="1" showErrorMessage="1" sqref="A19" xr:uid="{4E384E39-AED2-47CB-A02C-96DDEB899782}">
      <formula1>Calc_Fertilizers</formula1>
    </dataValidation>
    <dataValidation type="list" allowBlank="1" showInputMessage="1" showErrorMessage="1" sqref="B11:D11" xr:uid="{436302AD-4FB5-4AAE-9E4C-F3A94D92F3D4}">
      <formula1>Calc_Crops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EEF8-8B0F-475C-85DE-5EEEAED6A0F4}">
  <dimension ref="A1:R11"/>
  <sheetViews>
    <sheetView workbookViewId="0">
      <selection activeCell="T14" sqref="T14"/>
    </sheetView>
  </sheetViews>
  <sheetFormatPr defaultRowHeight="15"/>
  <cols>
    <col min="1" max="1" width="10.28515625" customWidth="1"/>
    <col min="2" max="2" width="8.42578125" customWidth="1"/>
    <col min="3" max="3" width="17.28515625" customWidth="1"/>
    <col min="4" max="4" width="12.7109375" customWidth="1"/>
    <col min="5" max="5" width="7.85546875" customWidth="1"/>
    <col min="6" max="6" width="6.28515625" customWidth="1"/>
    <col min="7" max="7" width="6.5703125" customWidth="1"/>
    <col min="10" max="10" width="6.85546875" customWidth="1"/>
    <col min="16" max="16" width="21.7109375" bestFit="1" customWidth="1"/>
    <col min="18" max="18" width="12.28515625" bestFit="1" customWidth="1"/>
  </cols>
  <sheetData>
    <row r="1" spans="1:18">
      <c r="A1" s="61" t="s">
        <v>249</v>
      </c>
    </row>
    <row r="2" spans="1:18">
      <c r="A2" s="3" t="s">
        <v>252</v>
      </c>
    </row>
    <row r="10" spans="1:18" ht="15" customHeight="1">
      <c r="A10" t="s">
        <v>214</v>
      </c>
      <c r="B10" t="s">
        <v>215</v>
      </c>
      <c r="C10" t="s">
        <v>216</v>
      </c>
      <c r="D10" t="s">
        <v>217</v>
      </c>
      <c r="E10" t="s">
        <v>63</v>
      </c>
      <c r="F10" t="s">
        <v>64</v>
      </c>
      <c r="G10" t="s">
        <v>218</v>
      </c>
      <c r="H10" t="s">
        <v>219</v>
      </c>
      <c r="I10" t="s">
        <v>29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250</v>
      </c>
      <c r="Q10" t="s">
        <v>7</v>
      </c>
      <c r="R10" t="s">
        <v>251</v>
      </c>
    </row>
    <row r="11" spans="1:18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</sheetData>
  <conditionalFormatting sqref="A11:AF999999">
    <cfRule type="expression" dxfId="243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391A-A8A4-4A43-AB51-882FADDE7B30}">
  <dimension ref="A9:O15"/>
  <sheetViews>
    <sheetView topLeftCell="A9" workbookViewId="0">
      <selection activeCell="E17" sqref="E17"/>
    </sheetView>
  </sheetViews>
  <sheetFormatPr defaultRowHeight="15"/>
  <cols>
    <col min="1" max="1" width="11" customWidth="1"/>
    <col min="2" max="2" width="18.5703125" customWidth="1"/>
    <col min="3" max="3" width="21.28515625" customWidth="1"/>
    <col min="4" max="4" width="25.28515625" customWidth="1"/>
    <col min="5" max="5" width="11" customWidth="1"/>
    <col min="6" max="6" width="11.7109375" customWidth="1"/>
    <col min="7" max="7" width="9.140625" customWidth="1"/>
    <col min="8" max="8" width="24" customWidth="1"/>
    <col min="9" max="9" width="9.85546875" customWidth="1"/>
    <col min="10" max="10" width="11.140625" customWidth="1"/>
    <col min="11" max="11" width="28.5703125" customWidth="1"/>
    <col min="12" max="12" width="28.42578125" customWidth="1"/>
    <col min="13" max="13" width="20.28515625" customWidth="1"/>
    <col min="14" max="14" width="61.140625" customWidth="1"/>
    <col min="15" max="15" width="117.42578125" customWidth="1"/>
  </cols>
  <sheetData>
    <row r="9" spans="1:15">
      <c r="B9" s="35" t="s">
        <v>276</v>
      </c>
      <c r="H9" t="s">
        <v>277</v>
      </c>
    </row>
    <row r="10" spans="1:15">
      <c r="A10" t="s">
        <v>278</v>
      </c>
      <c r="B10" t="s">
        <v>279</v>
      </c>
      <c r="C10" t="s">
        <v>280</v>
      </c>
      <c r="D10" t="s">
        <v>281</v>
      </c>
      <c r="E10" t="s">
        <v>282</v>
      </c>
      <c r="F10" t="s">
        <v>283</v>
      </c>
      <c r="G10" t="s">
        <v>2</v>
      </c>
      <c r="H10" t="s">
        <v>284</v>
      </c>
      <c r="I10" t="s">
        <v>285</v>
      </c>
      <c r="J10" t="s">
        <v>286</v>
      </c>
      <c r="K10" t="s">
        <v>287</v>
      </c>
      <c r="L10" t="s">
        <v>288</v>
      </c>
      <c r="M10" t="s">
        <v>289</v>
      </c>
      <c r="N10" t="s">
        <v>290</v>
      </c>
      <c r="O10" t="s">
        <v>291</v>
      </c>
    </row>
    <row r="11" spans="1:15">
      <c r="A11" t="s">
        <v>292</v>
      </c>
      <c r="B11" s="36" t="s">
        <v>183</v>
      </c>
      <c r="C11" t="s">
        <v>293</v>
      </c>
      <c r="D11" t="s">
        <v>294</v>
      </c>
      <c r="E11" t="s">
        <v>295</v>
      </c>
      <c r="F11" t="s">
        <v>296</v>
      </c>
      <c r="G11" s="3" t="s">
        <v>297</v>
      </c>
      <c r="H11" t="s">
        <v>298</v>
      </c>
      <c r="I11" t="s">
        <v>299</v>
      </c>
      <c r="J11" t="s">
        <v>286</v>
      </c>
      <c r="K11" s="10" t="s">
        <v>44</v>
      </c>
      <c r="L11" s="10" t="s">
        <v>44</v>
      </c>
      <c r="M11" s="6" t="s">
        <v>47</v>
      </c>
      <c r="N11" t="s">
        <v>300</v>
      </c>
      <c r="O11" s="9" t="s">
        <v>301</v>
      </c>
    </row>
    <row r="12" spans="1:15">
      <c r="A12" t="s">
        <v>302</v>
      </c>
      <c r="B12" s="36" t="s">
        <v>183</v>
      </c>
      <c r="C12" t="s">
        <v>303</v>
      </c>
      <c r="D12" t="s">
        <v>294</v>
      </c>
      <c r="E12" t="s">
        <v>304</v>
      </c>
      <c r="F12" t="s">
        <v>296</v>
      </c>
      <c r="G12" s="3" t="s">
        <v>305</v>
      </c>
      <c r="H12" t="s">
        <v>306</v>
      </c>
      <c r="I12" t="s">
        <v>299</v>
      </c>
      <c r="J12" s="3" t="s">
        <v>286</v>
      </c>
      <c r="K12" s="10" t="s">
        <v>44</v>
      </c>
      <c r="L12" s="10" t="s">
        <v>44</v>
      </c>
      <c r="M12" s="6" t="s">
        <v>47</v>
      </c>
      <c r="N12" t="s">
        <v>300</v>
      </c>
      <c r="O12" s="9" t="s">
        <v>301</v>
      </c>
    </row>
    <row r="13" spans="1:15">
      <c r="A13" t="s">
        <v>307</v>
      </c>
      <c r="B13" s="36" t="s">
        <v>183</v>
      </c>
      <c r="C13" t="s">
        <v>308</v>
      </c>
      <c r="D13" t="s">
        <v>294</v>
      </c>
      <c r="E13" t="s">
        <v>309</v>
      </c>
      <c r="F13" t="s">
        <v>310</v>
      </c>
      <c r="G13" s="3" t="s">
        <v>297</v>
      </c>
      <c r="H13" s="3" t="s">
        <v>298</v>
      </c>
      <c r="I13" s="3" t="s">
        <v>299</v>
      </c>
      <c r="J13" s="3" t="s">
        <v>286</v>
      </c>
      <c r="K13" s="10" t="s">
        <v>44</v>
      </c>
      <c r="L13" s="10" t="s">
        <v>44</v>
      </c>
      <c r="M13" s="6" t="s">
        <v>47</v>
      </c>
      <c r="N13" t="s">
        <v>300</v>
      </c>
      <c r="O13" s="9" t="s">
        <v>301</v>
      </c>
    </row>
    <row r="14" spans="1:15">
      <c r="A14" t="s">
        <v>311</v>
      </c>
      <c r="B14" s="36" t="s">
        <v>183</v>
      </c>
      <c r="C14" t="s">
        <v>312</v>
      </c>
      <c r="D14" t="s">
        <v>294</v>
      </c>
      <c r="E14" t="s">
        <v>313</v>
      </c>
      <c r="F14" t="s">
        <v>310</v>
      </c>
      <c r="G14" s="3" t="s">
        <v>305</v>
      </c>
      <c r="H14" t="s">
        <v>306</v>
      </c>
      <c r="I14" t="s">
        <v>299</v>
      </c>
      <c r="J14" s="3" t="s">
        <v>286</v>
      </c>
      <c r="K14" s="10" t="s">
        <v>44</v>
      </c>
      <c r="L14" s="10" t="s">
        <v>44</v>
      </c>
      <c r="M14" s="6" t="s">
        <v>47</v>
      </c>
      <c r="N14" t="s">
        <v>300</v>
      </c>
      <c r="O14" s="9" t="s">
        <v>301</v>
      </c>
    </row>
    <row r="15" spans="1:15">
      <c r="A15" t="s">
        <v>314</v>
      </c>
      <c r="B15" s="36" t="s">
        <v>145</v>
      </c>
      <c r="C15" s="3" t="s">
        <v>315</v>
      </c>
      <c r="D15" t="s">
        <v>316</v>
      </c>
      <c r="E15" s="10" t="s">
        <v>317</v>
      </c>
      <c r="F15" t="s">
        <v>310</v>
      </c>
      <c r="G15" s="3" t="s">
        <v>318</v>
      </c>
      <c r="H15" s="8" t="s">
        <v>317</v>
      </c>
      <c r="I15" s="3" t="s">
        <v>299</v>
      </c>
      <c r="J15" s="3" t="s">
        <v>286</v>
      </c>
      <c r="K15" s="10" t="s">
        <v>319</v>
      </c>
      <c r="L15" s="10" t="s">
        <v>320</v>
      </c>
      <c r="M15" s="7" t="s">
        <v>321</v>
      </c>
      <c r="N15" s="3" t="s">
        <v>322</v>
      </c>
      <c r="O15" s="9" t="s">
        <v>323</v>
      </c>
    </row>
  </sheetData>
  <conditionalFormatting sqref="A11:AF999999">
    <cfRule type="expression" dxfId="242" priority="1">
      <formula>AND(A11="", $A11&lt;&gt;"", A$10&lt;&gt;"")</formula>
    </cfRule>
  </conditionalFormatting>
  <hyperlinks>
    <hyperlink ref="O15" r:id="rId1" xr:uid="{8F3BA180-8D02-4593-9BA8-6630C9EBA0E7}"/>
    <hyperlink ref="O14" r:id="rId2" xr:uid="{8227A582-D0AD-4003-9FAB-F5C03886F3B7}"/>
    <hyperlink ref="O13" r:id="rId3" xr:uid="{EC89040A-FA3E-461C-896E-6BE4FD15D238}"/>
    <hyperlink ref="O12" r:id="rId4" xr:uid="{23399312-CD83-45B6-BE69-BBD2E20338CD}"/>
    <hyperlink ref="O11" r:id="rId5" xr:uid="{564F32CB-CA4A-44A4-A566-6ADD1F048520}"/>
  </hyperlinks>
  <pageMargins left="0.7" right="0.7" top="0.75" bottom="0.75" header="0.3" footer="0.3"/>
  <tableParts count="1"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BC1A-F020-44B1-99BC-CB9560078498}">
  <dimension ref="A1:AB60"/>
  <sheetViews>
    <sheetView workbookViewId="0">
      <pane xSplit="2" topLeftCell="Q45" activePane="topRight" state="frozen"/>
      <selection pane="topRight" activeCell="S11" sqref="S11:S53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3" width="27.28515625" style="17" customWidth="1"/>
    <col min="14" max="14" width="19.5703125" style="17" customWidth="1"/>
    <col min="15" max="15" width="15.7109375" style="17" customWidth="1"/>
    <col min="16" max="16" width="12.28515625" style="17" customWidth="1"/>
    <col min="17" max="17" width="15.42578125" style="17" customWidth="1"/>
    <col min="18" max="18" width="16.28515625" style="17" customWidth="1"/>
    <col min="19" max="19" width="28.140625" style="17" customWidth="1"/>
    <col min="20" max="20" width="28.7109375" style="17" customWidth="1"/>
    <col min="21" max="21" width="21.28515625" style="17" customWidth="1"/>
    <col min="22" max="22" width="23.7109375" style="17" customWidth="1"/>
    <col min="23" max="23" width="24.140625" style="17" customWidth="1"/>
    <col min="24" max="24" width="12.85546875" style="17" customWidth="1"/>
    <col min="25" max="25" width="14.7109375" style="17" customWidth="1"/>
    <col min="26" max="26" width="20.7109375" style="17" customWidth="1"/>
    <col min="27" max="27" width="19.85546875" style="17" customWidth="1"/>
    <col min="28" max="28" width="162.7109375" style="17" customWidth="1"/>
    <col min="29" max="16384" width="9.140625" style="17"/>
  </cols>
  <sheetData>
    <row r="1" spans="1:28">
      <c r="I1" s="22"/>
      <c r="J1" s="22"/>
      <c r="P1" s="17" t="s">
        <v>324</v>
      </c>
      <c r="Q1" s="17" t="s">
        <v>325</v>
      </c>
      <c r="X1" s="17" t="s">
        <v>326</v>
      </c>
      <c r="Y1" s="3" t="s">
        <v>326</v>
      </c>
    </row>
    <row r="9" spans="1:28">
      <c r="E9" s="19" t="s">
        <v>327</v>
      </c>
      <c r="F9" s="17" t="s">
        <v>182</v>
      </c>
      <c r="I9" s="19" t="s">
        <v>328</v>
      </c>
      <c r="J9" s="19" t="s">
        <v>329</v>
      </c>
      <c r="K9" s="17" t="s">
        <v>182</v>
      </c>
      <c r="R9" s="19" t="s">
        <v>330</v>
      </c>
      <c r="S9" s="17" t="s">
        <v>182</v>
      </c>
      <c r="X9" s="17" t="s">
        <v>182</v>
      </c>
    </row>
    <row r="10" spans="1:28">
      <c r="A10" t="s">
        <v>33</v>
      </c>
      <c r="B10" s="17" t="s">
        <v>331</v>
      </c>
      <c r="C10" s="17" t="s">
        <v>332</v>
      </c>
      <c r="D10" s="17" t="s">
        <v>333</v>
      </c>
      <c r="E10" s="17" t="s">
        <v>334</v>
      </c>
      <c r="F10" s="17" t="s">
        <v>335</v>
      </c>
      <c r="G10" s="17" t="s">
        <v>336</v>
      </c>
      <c r="H10" s="17" t="s">
        <v>337</v>
      </c>
      <c r="I10" s="17" t="s">
        <v>338</v>
      </c>
      <c r="J10" s="17" t="s">
        <v>339</v>
      </c>
      <c r="K10" s="17" t="s">
        <v>188</v>
      </c>
      <c r="L10" s="17" t="s">
        <v>340</v>
      </c>
      <c r="M10" s="17" t="s">
        <v>341</v>
      </c>
      <c r="N10" s="17" t="s">
        <v>342</v>
      </c>
      <c r="O10" s="17" t="s">
        <v>343</v>
      </c>
      <c r="P10" s="17" t="s">
        <v>344</v>
      </c>
      <c r="Q10" s="17" t="s">
        <v>345</v>
      </c>
      <c r="R10" s="17" t="s">
        <v>346</v>
      </c>
      <c r="S10" s="17" t="s">
        <v>347</v>
      </c>
      <c r="T10" s="17" t="s">
        <v>348</v>
      </c>
      <c r="U10" s="17" t="s">
        <v>349</v>
      </c>
      <c r="V10" s="17" t="s">
        <v>350</v>
      </c>
      <c r="W10" s="17" t="s">
        <v>351</v>
      </c>
      <c r="X10" s="17" t="s">
        <v>352</v>
      </c>
      <c r="Y10" s="17" t="s">
        <v>353</v>
      </c>
      <c r="Z10" s="17" t="s">
        <v>354</v>
      </c>
      <c r="AA10" s="17" t="s">
        <v>355</v>
      </c>
      <c r="AB10" s="17" t="s">
        <v>356</v>
      </c>
    </row>
    <row r="11" spans="1:28">
      <c r="A11" t="s">
        <v>6</v>
      </c>
      <c r="B11" s="19" t="s">
        <v>40</v>
      </c>
      <c r="C11" s="17" t="s">
        <v>357</v>
      </c>
      <c r="D11" s="20" t="s">
        <v>358</v>
      </c>
      <c r="E11" s="21" t="str">
        <f ca="1">IF(zzz_20261002_Jars[[#This Row],[Jar Type]]="", "", TEXT(_xlfn.XLOOKUP(zzz_20261002_Jars[[#This Row],[Jar Type]], Containers!A:A, Containers!C:C), "General"))</f>
        <v>1892.7</v>
      </c>
      <c r="F11" s="19" t="s">
        <v>44</v>
      </c>
      <c r="G11" s="19" t="s">
        <v>359</v>
      </c>
      <c r="H11" s="19" t="s">
        <v>360</v>
      </c>
      <c r="I11" s="19" t="str" cm="1">
        <f t="array" aca="1" ref="I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1" s="19" t="str" cm="1">
        <f t="array" aca="1" ref="J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1" s="17" t="s">
        <v>361</v>
      </c>
      <c r="L11" s="17" t="s">
        <v>362</v>
      </c>
      <c r="M11" s="17" t="s">
        <v>362</v>
      </c>
      <c r="N11" s="17" t="s">
        <v>363</v>
      </c>
      <c r="O11" t="s">
        <v>8</v>
      </c>
      <c r="P11" s="17" t="s">
        <v>364</v>
      </c>
      <c r="Q11" s="17" t="s">
        <v>365</v>
      </c>
      <c r="R1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1" s="17" t="s">
        <v>362</v>
      </c>
      <c r="T11" s="19" t="s">
        <v>44</v>
      </c>
      <c r="U11" s="17" t="s">
        <v>366</v>
      </c>
      <c r="V11" s="17" cm="1">
        <f t="array" aca="1" ref="V1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1" s="17" cm="1">
        <f t="array" aca="1" ref="W1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1" s="1" t="s">
        <v>367</v>
      </c>
      <c r="Y11" s="1" t="s">
        <v>368</v>
      </c>
      <c r="Z11" s="17" t="s">
        <v>369</v>
      </c>
      <c r="AA11" s="17" t="s">
        <v>370</v>
      </c>
    </row>
    <row r="12" spans="1:28">
      <c r="A12" t="s">
        <v>10</v>
      </c>
      <c r="B12" s="19" t="s">
        <v>40</v>
      </c>
      <c r="C12" s="17" t="s">
        <v>371</v>
      </c>
      <c r="D12" s="20" t="s">
        <v>358</v>
      </c>
      <c r="E12" s="21" t="str">
        <f ca="1">IF(zzz_20261002_Jars[[#This Row],[Jar Type]]="", "", TEXT(_xlfn.XLOOKUP(zzz_20261002_Jars[[#This Row],[Jar Type]], Containers!A:A, Containers!C:C), "General"))</f>
        <v>1892.7</v>
      </c>
      <c r="F12" s="19" t="s">
        <v>44</v>
      </c>
      <c r="G12" s="19" t="s">
        <v>359</v>
      </c>
      <c r="H12" s="20" t="s">
        <v>360</v>
      </c>
      <c r="I12" s="20" t="str" cm="1">
        <f t="array" aca="1" ref="I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2" s="20" t="str" cm="1">
        <f t="array" aca="1" ref="J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2" s="17" t="s">
        <v>361</v>
      </c>
      <c r="L12" s="17" t="s">
        <v>362</v>
      </c>
      <c r="M12" s="17" t="s">
        <v>362</v>
      </c>
      <c r="N12" s="17" t="s">
        <v>363</v>
      </c>
      <c r="O12" t="s">
        <v>8</v>
      </c>
      <c r="P12" s="17" t="s">
        <v>364</v>
      </c>
      <c r="Q12" s="17" t="s">
        <v>372</v>
      </c>
      <c r="R1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2" s="17" t="s">
        <v>362</v>
      </c>
      <c r="T12" s="17" t="s">
        <v>44</v>
      </c>
      <c r="U12" s="17" t="s">
        <v>366</v>
      </c>
      <c r="V12" s="17" cm="1">
        <f t="array" aca="1" ref="V1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2" s="17" cm="1">
        <f t="array" aca="1" ref="W1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2" s="1" t="s">
        <v>367</v>
      </c>
      <c r="Y12" s="1" t="s">
        <v>373</v>
      </c>
      <c r="Z12" s="17" t="s">
        <v>369</v>
      </c>
      <c r="AA12" s="20" t="s">
        <v>370</v>
      </c>
      <c r="AB12" s="20"/>
    </row>
    <row r="13" spans="1:28">
      <c r="A13" t="s">
        <v>14</v>
      </c>
      <c r="B13" s="19" t="s">
        <v>40</v>
      </c>
      <c r="C13" s="17" t="s">
        <v>374</v>
      </c>
      <c r="D13" s="20" t="s">
        <v>358</v>
      </c>
      <c r="E13" s="21" t="str">
        <f ca="1">IF(zzz_20261002_Jars[[#This Row],[Jar Type]]="", "", TEXT(_xlfn.XLOOKUP(zzz_20261002_Jars[[#This Row],[Jar Type]], Containers!A:A, Containers!C:C), "General"))</f>
        <v>1892.7</v>
      </c>
      <c r="F13" s="19" t="s">
        <v>44</v>
      </c>
      <c r="G13" s="19" t="s">
        <v>359</v>
      </c>
      <c r="H13" s="20" t="s">
        <v>360</v>
      </c>
      <c r="I13" s="20" t="str" cm="1">
        <f t="array" aca="1" ref="I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3" s="20" t="str" cm="1">
        <f t="array" aca="1" ref="J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3" s="17" t="s">
        <v>375</v>
      </c>
      <c r="L13" s="17" t="s">
        <v>362</v>
      </c>
      <c r="M13" s="17" t="s">
        <v>362</v>
      </c>
      <c r="N13" s="17" t="s">
        <v>376</v>
      </c>
      <c r="O13" t="s">
        <v>8</v>
      </c>
      <c r="P13" s="17" t="s">
        <v>377</v>
      </c>
      <c r="Q13" s="17" t="s">
        <v>378</v>
      </c>
      <c r="R1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3" s="17" t="s">
        <v>362</v>
      </c>
      <c r="T13" s="17" t="s">
        <v>44</v>
      </c>
      <c r="U13" s="17" t="s">
        <v>366</v>
      </c>
      <c r="V13" s="17" cm="1">
        <f t="array" aca="1" ref="V1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3" s="17" cm="1">
        <f t="array" aca="1" ref="W1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1.1100000000000001</v>
      </c>
      <c r="X13" s="1" t="s">
        <v>379</v>
      </c>
      <c r="Y13" s="1" t="s">
        <v>380</v>
      </c>
      <c r="Z13" s="17" t="s">
        <v>369</v>
      </c>
      <c r="AA13" s="17" t="s">
        <v>370</v>
      </c>
      <c r="AB13" s="20"/>
    </row>
    <row r="14" spans="1:28">
      <c r="A14" t="s">
        <v>381</v>
      </c>
      <c r="B14" s="19" t="s">
        <v>40</v>
      </c>
      <c r="C14" s="17" t="s">
        <v>382</v>
      </c>
      <c r="D14" s="20" t="s">
        <v>358</v>
      </c>
      <c r="E14" s="21" t="str">
        <f ca="1">IF(zzz_20261002_Jars[[#This Row],[Jar Type]]="", "", TEXT(_xlfn.XLOOKUP(zzz_20261002_Jars[[#This Row],[Jar Type]], Containers!A:A, Containers!C:C), "General"))</f>
        <v>1892.7</v>
      </c>
      <c r="F14" s="19" t="s">
        <v>44</v>
      </c>
      <c r="G14" s="19" t="s">
        <v>359</v>
      </c>
      <c r="H14" s="20" t="s">
        <v>360</v>
      </c>
      <c r="I14" s="20" t="str" cm="1">
        <f t="array" aca="1" ref="I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4" s="20" t="str" cm="1">
        <f t="array" aca="1" ref="J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4" s="17" t="s">
        <v>375</v>
      </c>
      <c r="L14" s="17" t="s">
        <v>362</v>
      </c>
      <c r="M14" s="17" t="s">
        <v>362</v>
      </c>
      <c r="N14" s="17" t="s">
        <v>383</v>
      </c>
      <c r="O14" t="s">
        <v>8</v>
      </c>
      <c r="P14" s="17" t="s">
        <v>364</v>
      </c>
      <c r="Q14" s="17" t="s">
        <v>384</v>
      </c>
      <c r="R1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4" s="17" t="s">
        <v>362</v>
      </c>
      <c r="T14" s="17" t="s">
        <v>44</v>
      </c>
      <c r="U14" s="17" t="s">
        <v>366</v>
      </c>
      <c r="V14" s="17" cm="1">
        <f t="array" aca="1" ref="V1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4" s="17" cm="1">
        <f t="array" aca="1" ref="W1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14" s="1" t="s">
        <v>379</v>
      </c>
      <c r="Y14" s="1" t="s">
        <v>43</v>
      </c>
      <c r="Z14" s="17" t="s">
        <v>369</v>
      </c>
      <c r="AA14" s="17" t="s">
        <v>370</v>
      </c>
      <c r="AB14" s="20"/>
    </row>
    <row r="15" spans="1:28">
      <c r="A15" t="s">
        <v>319</v>
      </c>
      <c r="B15" s="19" t="s">
        <v>40</v>
      </c>
      <c r="C15" s="17" t="s">
        <v>385</v>
      </c>
      <c r="D15" s="20" t="s">
        <v>358</v>
      </c>
      <c r="E15" s="21" t="str">
        <f ca="1">IF(zzz_20261002_Jars[[#This Row],[Jar Type]]="", "", TEXT(_xlfn.XLOOKUP(zzz_20261002_Jars[[#This Row],[Jar Type]], Containers!A:A, Containers!C:C), "General"))</f>
        <v>1892.7</v>
      </c>
      <c r="F15" s="19" t="s">
        <v>44</v>
      </c>
      <c r="G15" s="19" t="s">
        <v>386</v>
      </c>
      <c r="H15" s="20" t="s">
        <v>360</v>
      </c>
      <c r="I15" s="20" t="str" cm="1">
        <f t="array" aca="1" ref="I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5" s="20" t="str" cm="1">
        <f t="array" aca="1" ref="J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5" s="17" t="s">
        <v>375</v>
      </c>
      <c r="L15" s="17" t="s">
        <v>362</v>
      </c>
      <c r="M15" s="17" t="s">
        <v>362</v>
      </c>
      <c r="N15" s="17" t="s">
        <v>387</v>
      </c>
      <c r="O15" t="s">
        <v>8</v>
      </c>
      <c r="P15" s="17" t="s">
        <v>364</v>
      </c>
      <c r="Q15" s="17" t="s">
        <v>388</v>
      </c>
      <c r="R1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5" s="17" t="s">
        <v>362</v>
      </c>
      <c r="T15" s="17" t="s">
        <v>44</v>
      </c>
      <c r="U15" s="17" t="s">
        <v>366</v>
      </c>
      <c r="V15" s="17" cm="1">
        <f t="array" aca="1" ref="V1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5" s="17" cm="1">
        <f t="array" aca="1" ref="W1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15" s="1" t="s">
        <v>377</v>
      </c>
      <c r="Y15" s="2" t="s">
        <v>389</v>
      </c>
      <c r="Z15" s="17" t="s">
        <v>369</v>
      </c>
      <c r="AA15" s="17" t="s">
        <v>370</v>
      </c>
    </row>
    <row r="16" spans="1:28">
      <c r="A16" t="s">
        <v>390</v>
      </c>
      <c r="B16" s="19" t="s">
        <v>40</v>
      </c>
      <c r="C16" s="17" t="s">
        <v>391</v>
      </c>
      <c r="D16" s="20" t="s">
        <v>358</v>
      </c>
      <c r="E16" s="21" t="str">
        <f ca="1">IF(zzz_20261002_Jars[[#This Row],[Jar Type]]="", "", TEXT(_xlfn.XLOOKUP(zzz_20261002_Jars[[#This Row],[Jar Type]], Containers!A:A, Containers!C:C), "General"))</f>
        <v>1892.7</v>
      </c>
      <c r="F16" s="19" t="s">
        <v>44</v>
      </c>
      <c r="G16" s="19" t="s">
        <v>392</v>
      </c>
      <c r="H16" s="20" t="s">
        <v>360</v>
      </c>
      <c r="I16" s="20" t="str" cm="1">
        <f t="array" aca="1" ref="I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6" s="20" t="str" cm="1">
        <f t="array" aca="1" ref="J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6" s="17" t="s">
        <v>361</v>
      </c>
      <c r="L16" s="17" t="s">
        <v>362</v>
      </c>
      <c r="M16" s="17" t="s">
        <v>362</v>
      </c>
      <c r="N16" s="17" t="s">
        <v>393</v>
      </c>
      <c r="O16" t="s">
        <v>8</v>
      </c>
      <c r="P16" s="17" t="s">
        <v>377</v>
      </c>
      <c r="Q16" s="17" t="s">
        <v>394</v>
      </c>
      <c r="R1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6" s="17" t="s">
        <v>362</v>
      </c>
      <c r="T16" s="17" t="s">
        <v>44</v>
      </c>
      <c r="U16" s="17" t="s">
        <v>366</v>
      </c>
      <c r="V16" s="17" cm="1">
        <f t="array" aca="1" ref="V1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6" s="17" cm="1">
        <f t="array" aca="1" ref="W1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16" s="1" t="s">
        <v>367</v>
      </c>
      <c r="Y16" s="2" t="s">
        <v>395</v>
      </c>
      <c r="Z16" s="17" t="s">
        <v>369</v>
      </c>
      <c r="AA16" s="17" t="s">
        <v>370</v>
      </c>
      <c r="AB16" s="20"/>
    </row>
    <row r="17" spans="1:28">
      <c r="A17" t="s">
        <v>396</v>
      </c>
      <c r="B17" s="19" t="s">
        <v>40</v>
      </c>
      <c r="C17" s="17" t="s">
        <v>397</v>
      </c>
      <c r="D17" s="20" t="s">
        <v>358</v>
      </c>
      <c r="E17" s="21" t="str">
        <f ca="1">IF(zzz_20261002_Jars[[#This Row],[Jar Type]]="", "", TEXT(_xlfn.XLOOKUP(zzz_20261002_Jars[[#This Row],[Jar Type]], Containers!A:A, Containers!C:C), "General"))</f>
        <v>1892.7</v>
      </c>
      <c r="F17" s="19" t="s">
        <v>44</v>
      </c>
      <c r="G17" s="19" t="s">
        <v>392</v>
      </c>
      <c r="H17" s="20" t="s">
        <v>360</v>
      </c>
      <c r="I17" s="20" t="str" cm="1">
        <f t="array" aca="1" ref="I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7" s="20" t="str" cm="1">
        <f t="array" aca="1" ref="J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7" s="17" t="s">
        <v>361</v>
      </c>
      <c r="L17" s="17" t="s">
        <v>362</v>
      </c>
      <c r="M17" s="17" t="s">
        <v>362</v>
      </c>
      <c r="N17" s="17" t="s">
        <v>398</v>
      </c>
      <c r="O17" t="s">
        <v>8</v>
      </c>
      <c r="P17" s="19" t="s">
        <v>364</v>
      </c>
      <c r="Q17" s="17" t="s">
        <v>399</v>
      </c>
      <c r="R1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7" s="17" t="s">
        <v>362</v>
      </c>
      <c r="T17" s="17" t="s">
        <v>44</v>
      </c>
      <c r="U17" s="17" t="s">
        <v>366</v>
      </c>
      <c r="V17" s="17" cm="1">
        <f t="array" aca="1" ref="V1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7" s="17" cm="1">
        <f t="array" aca="1" ref="W1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1.43</v>
      </c>
      <c r="X17" s="1" t="s">
        <v>367</v>
      </c>
      <c r="Y17" s="2" t="s">
        <v>400</v>
      </c>
      <c r="Z17" s="17" t="s">
        <v>369</v>
      </c>
      <c r="AA17" s="17" t="s">
        <v>370</v>
      </c>
      <c r="AB17" s="20"/>
    </row>
    <row r="18" spans="1:28">
      <c r="A18" t="s">
        <v>401</v>
      </c>
      <c r="B18" s="19" t="s">
        <v>40</v>
      </c>
      <c r="C18" s="17" t="s">
        <v>402</v>
      </c>
      <c r="D18" s="20" t="s">
        <v>358</v>
      </c>
      <c r="E18" s="21" t="str">
        <f ca="1">IF(zzz_20261002_Jars[[#This Row],[Jar Type]]="", "", TEXT(_xlfn.XLOOKUP(zzz_20261002_Jars[[#This Row],[Jar Type]], Containers!A:A, Containers!C:C), "General"))</f>
        <v>1892.7</v>
      </c>
      <c r="F18" s="19" t="s">
        <v>44</v>
      </c>
      <c r="G18" s="19" t="s">
        <v>392</v>
      </c>
      <c r="H18" s="20" t="s">
        <v>360</v>
      </c>
      <c r="I18" s="20" t="str" cm="1">
        <f t="array" aca="1" ref="I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8" s="20" t="str" cm="1">
        <f t="array" aca="1" ref="J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8" s="17" t="s">
        <v>361</v>
      </c>
      <c r="L18" s="17" t="s">
        <v>362</v>
      </c>
      <c r="M18" s="17" t="s">
        <v>362</v>
      </c>
      <c r="N18" s="17" t="s">
        <v>403</v>
      </c>
      <c r="O18" t="s">
        <v>8</v>
      </c>
      <c r="P18" s="17" t="s">
        <v>364</v>
      </c>
      <c r="Q18" s="17" t="s">
        <v>404</v>
      </c>
      <c r="R1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8" s="17" t="s">
        <v>362</v>
      </c>
      <c r="T18" s="17" t="s">
        <v>44</v>
      </c>
      <c r="U18" s="17" t="s">
        <v>366</v>
      </c>
      <c r="V18" s="17" cm="1">
        <f t="array" aca="1" ref="V1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8" s="17" cm="1">
        <f t="array" aca="1" ref="W1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1.37</v>
      </c>
      <c r="X18" s="1" t="s">
        <v>367</v>
      </c>
      <c r="Y18" s="2" t="s">
        <v>405</v>
      </c>
      <c r="Z18" s="17" t="s">
        <v>369</v>
      </c>
      <c r="AA18" s="17" t="s">
        <v>370</v>
      </c>
      <c r="AB18" s="20"/>
    </row>
    <row r="19" spans="1:28">
      <c r="A19" t="s">
        <v>406</v>
      </c>
      <c r="B19" s="19" t="s">
        <v>40</v>
      </c>
      <c r="C19" s="17" t="s">
        <v>407</v>
      </c>
      <c r="D19" s="20" t="s">
        <v>358</v>
      </c>
      <c r="E19" s="21" t="str">
        <f ca="1">IF(zzz_20261002_Jars[[#This Row],[Jar Type]]="", "", TEXT(_xlfn.XLOOKUP(zzz_20261002_Jars[[#This Row],[Jar Type]], Containers!A:A, Containers!C:C), "General"))</f>
        <v>1892.7</v>
      </c>
      <c r="F19" s="19" t="s">
        <v>44</v>
      </c>
      <c r="G19" s="19" t="s">
        <v>392</v>
      </c>
      <c r="H19" s="20" t="s">
        <v>360</v>
      </c>
      <c r="I19" s="20" t="str" cm="1">
        <f t="array" aca="1" ref="I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9" s="20" t="str" cm="1">
        <f t="array" aca="1" ref="J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9" s="17" t="s">
        <v>361</v>
      </c>
      <c r="L19" s="17" t="s">
        <v>362</v>
      </c>
      <c r="M19" s="17" t="s">
        <v>362</v>
      </c>
      <c r="N19" s="17" t="s">
        <v>408</v>
      </c>
      <c r="O19" t="s">
        <v>8</v>
      </c>
      <c r="P19" s="17" t="s">
        <v>367</v>
      </c>
      <c r="Q19" s="17" t="s">
        <v>409</v>
      </c>
      <c r="R1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9" s="19" t="s">
        <v>6</v>
      </c>
      <c r="T19" s="19" t="s">
        <v>44</v>
      </c>
      <c r="U19" s="19" t="s">
        <v>366</v>
      </c>
      <c r="V19" s="19" cm="1">
        <f t="array" aca="1" ref="V1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1751</v>
      </c>
      <c r="W19" s="19" cm="1">
        <f t="array" aca="1" ref="W1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1.49</v>
      </c>
      <c r="X19" s="1" t="s">
        <v>410</v>
      </c>
      <c r="Y19" s="2" t="s">
        <v>411</v>
      </c>
      <c r="Z19" s="17" t="s">
        <v>369</v>
      </c>
      <c r="AA19" s="17" t="s">
        <v>370</v>
      </c>
      <c r="AB19" s="17" t="s">
        <v>412</v>
      </c>
    </row>
    <row r="20" spans="1:28">
      <c r="A20" t="s">
        <v>320</v>
      </c>
      <c r="B20" s="19" t="s">
        <v>40</v>
      </c>
      <c r="C20" s="17" t="s">
        <v>413</v>
      </c>
      <c r="D20" s="20" t="s">
        <v>358</v>
      </c>
      <c r="E20" s="21" t="str">
        <f ca="1">IF(zzz_20261002_Jars[[#This Row],[Jar Type]]="", "", TEXT(_xlfn.XLOOKUP(zzz_20261002_Jars[[#This Row],[Jar Type]], Containers!A:A, Containers!C:C), "General"))</f>
        <v>1892.7</v>
      </c>
      <c r="F20" s="19" t="s">
        <v>44</v>
      </c>
      <c r="G20" s="19" t="s">
        <v>414</v>
      </c>
      <c r="H20" s="20" t="s">
        <v>360</v>
      </c>
      <c r="I20" s="20" t="str" cm="1">
        <f t="array" aca="1" ref="I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0" s="20" t="str" cm="1">
        <f t="array" aca="1" ref="J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0" s="17" t="s">
        <v>375</v>
      </c>
      <c r="L20" s="17" t="s">
        <v>362</v>
      </c>
      <c r="M20" s="17" t="s">
        <v>362</v>
      </c>
      <c r="N20" s="17" t="s">
        <v>387</v>
      </c>
      <c r="O20" t="s">
        <v>8</v>
      </c>
      <c r="P20" s="17" t="s">
        <v>379</v>
      </c>
      <c r="Q20" s="17" t="s">
        <v>415</v>
      </c>
      <c r="R2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0" s="17" t="s">
        <v>362</v>
      </c>
      <c r="T20" s="17" t="s">
        <v>44</v>
      </c>
      <c r="U20" s="17" t="s">
        <v>366</v>
      </c>
      <c r="V20" s="17" cm="1">
        <f t="array" aca="1" ref="V2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0" s="17" cm="1">
        <f t="array" aca="1" ref="W2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0" s="1" t="s">
        <v>362</v>
      </c>
      <c r="Y20" s="3" t="s">
        <v>362</v>
      </c>
      <c r="Z20" s="17" t="s">
        <v>369</v>
      </c>
      <c r="AA20" s="17" t="s">
        <v>370</v>
      </c>
    </row>
    <row r="21" spans="1:28">
      <c r="A21" t="s">
        <v>416</v>
      </c>
      <c r="B21" s="19" t="s">
        <v>40</v>
      </c>
      <c r="C21" s="17" t="s">
        <v>417</v>
      </c>
      <c r="D21" s="20" t="s">
        <v>358</v>
      </c>
      <c r="E21" s="21" t="str">
        <f ca="1">IF(zzz_20261002_Jars[[#This Row],[Jar Type]]="", "", TEXT(_xlfn.XLOOKUP(zzz_20261002_Jars[[#This Row],[Jar Type]], Containers!A:A, Containers!C:C), "General"))</f>
        <v>1892.7</v>
      </c>
      <c r="F21" s="19" t="s">
        <v>44</v>
      </c>
      <c r="G21" s="19" t="s">
        <v>414</v>
      </c>
      <c r="H21" s="20" t="s">
        <v>360</v>
      </c>
      <c r="I21" s="20" t="str" cm="1">
        <f t="array" aca="1" ref="I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1" s="20" t="str" cm="1">
        <f t="array" aca="1" ref="J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1" s="17" t="s">
        <v>375</v>
      </c>
      <c r="L21" s="17" t="s">
        <v>362</v>
      </c>
      <c r="M21" s="17" t="s">
        <v>362</v>
      </c>
      <c r="N21" s="17" t="s">
        <v>387</v>
      </c>
      <c r="O21" t="s">
        <v>8</v>
      </c>
      <c r="P21" s="17" t="s">
        <v>367</v>
      </c>
      <c r="Q21" s="17" t="s">
        <v>418</v>
      </c>
      <c r="R2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1" s="17" t="s">
        <v>362</v>
      </c>
      <c r="T21" s="17" t="s">
        <v>44</v>
      </c>
      <c r="U21" s="17" t="s">
        <v>366</v>
      </c>
      <c r="V21" s="17" cm="1">
        <f t="array" aca="1" ref="V2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1" s="17" cm="1">
        <f t="array" aca="1" ref="W2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1" s="1" t="s">
        <v>367</v>
      </c>
      <c r="Y21" s="2" t="s">
        <v>419</v>
      </c>
      <c r="Z21" s="17" t="s">
        <v>369</v>
      </c>
      <c r="AA21" s="17" t="s">
        <v>370</v>
      </c>
      <c r="AB21" s="20"/>
    </row>
    <row r="22" spans="1:28">
      <c r="A22" t="s">
        <v>420</v>
      </c>
      <c r="B22" s="19" t="s">
        <v>40</v>
      </c>
      <c r="C22" s="17" t="s">
        <v>421</v>
      </c>
      <c r="D22" s="20" t="s">
        <v>358</v>
      </c>
      <c r="E22" s="21" t="str">
        <f ca="1">IF(zzz_20261002_Jars[[#This Row],[Jar Type]]="", "", TEXT(_xlfn.XLOOKUP(zzz_20261002_Jars[[#This Row],[Jar Type]], Containers!A:A, Containers!C:C), "General"))</f>
        <v>1892.7</v>
      </c>
      <c r="F22" s="19" t="s">
        <v>44</v>
      </c>
      <c r="G22" s="19" t="s">
        <v>414</v>
      </c>
      <c r="H22" s="20" t="s">
        <v>360</v>
      </c>
      <c r="I22" s="20" t="str" cm="1">
        <f t="array" aca="1" ref="I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2" s="20" t="str" cm="1">
        <f t="array" aca="1" ref="J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2" s="17" t="s">
        <v>375</v>
      </c>
      <c r="L22" s="17" t="s">
        <v>362</v>
      </c>
      <c r="M22" s="17" t="s">
        <v>362</v>
      </c>
      <c r="N22" s="17" t="s">
        <v>422</v>
      </c>
      <c r="O22" t="s">
        <v>8</v>
      </c>
      <c r="P22" s="17" t="s">
        <v>379</v>
      </c>
      <c r="Q22" s="17" t="s">
        <v>423</v>
      </c>
      <c r="R2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2" s="17" t="s">
        <v>362</v>
      </c>
      <c r="T22" s="17" t="s">
        <v>44</v>
      </c>
      <c r="U22" s="17" t="s">
        <v>366</v>
      </c>
      <c r="V22" s="17" cm="1">
        <f t="array" aca="1" ref="V2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2" s="17" cm="1">
        <f t="array" aca="1" ref="W2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1.41</v>
      </c>
      <c r="X22" s="3" t="s">
        <v>362</v>
      </c>
      <c r="Y22" s="3" t="s">
        <v>362</v>
      </c>
      <c r="Z22" s="17" t="s">
        <v>369</v>
      </c>
      <c r="AA22" s="17" t="s">
        <v>370</v>
      </c>
    </row>
    <row r="23" spans="1:28">
      <c r="A23" t="s">
        <v>424</v>
      </c>
      <c r="B23" s="19" t="s">
        <v>40</v>
      </c>
      <c r="C23" s="17" t="s">
        <v>425</v>
      </c>
      <c r="D23" s="20" t="s">
        <v>358</v>
      </c>
      <c r="E23" s="21" t="str">
        <f ca="1">IF(zzz_20261002_Jars[[#This Row],[Jar Type]]="", "", TEXT(_xlfn.XLOOKUP(zzz_20261002_Jars[[#This Row],[Jar Type]], Containers!A:A, Containers!C:C), "General"))</f>
        <v>1892.7</v>
      </c>
      <c r="F23" s="19" t="s">
        <v>44</v>
      </c>
      <c r="G23" s="19" t="s">
        <v>414</v>
      </c>
      <c r="H23" s="20" t="s">
        <v>360</v>
      </c>
      <c r="I23" s="20" t="str" cm="1">
        <f t="array" aca="1" ref="I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3" s="20" t="str" cm="1">
        <f t="array" aca="1" ref="J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3" s="17" t="s">
        <v>375</v>
      </c>
      <c r="L23" s="17" t="s">
        <v>362</v>
      </c>
      <c r="M23" s="17" t="s">
        <v>362</v>
      </c>
      <c r="N23" s="17" t="s">
        <v>426</v>
      </c>
      <c r="O23" t="s">
        <v>8</v>
      </c>
      <c r="P23" s="17" t="s">
        <v>379</v>
      </c>
      <c r="Q23" s="17" t="s">
        <v>427</v>
      </c>
      <c r="R2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3" s="17" t="s">
        <v>362</v>
      </c>
      <c r="T23" s="17" t="s">
        <v>44</v>
      </c>
      <c r="U23" s="17" t="s">
        <v>366</v>
      </c>
      <c r="V23" s="17" cm="1">
        <f t="array" aca="1" ref="V2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3" s="17" cm="1">
        <f t="array" aca="1" ref="W2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</v>
      </c>
      <c r="X23" s="1" t="s">
        <v>367</v>
      </c>
      <c r="Y23" s="2" t="s">
        <v>428</v>
      </c>
      <c r="Z23" s="17" t="s">
        <v>369</v>
      </c>
      <c r="AA23" s="17" t="s">
        <v>370</v>
      </c>
      <c r="AB23" s="20"/>
    </row>
    <row r="24" spans="1:28">
      <c r="A24" t="s">
        <v>429</v>
      </c>
      <c r="B24" s="19" t="s">
        <v>40</v>
      </c>
      <c r="C24" s="17" t="s">
        <v>430</v>
      </c>
      <c r="D24" s="20" t="s">
        <v>358</v>
      </c>
      <c r="E24" s="21" t="str">
        <f ca="1">IF(zzz_20261002_Jars[[#This Row],[Jar Type]]="", "", TEXT(_xlfn.XLOOKUP(zzz_20261002_Jars[[#This Row],[Jar Type]], Containers!A:A, Containers!C:C), "General"))</f>
        <v>1892.7</v>
      </c>
      <c r="F24" s="19" t="s">
        <v>44</v>
      </c>
      <c r="G24" s="19" t="s">
        <v>431</v>
      </c>
      <c r="H24" s="20" t="s">
        <v>360</v>
      </c>
      <c r="I24" s="20" t="str" cm="1">
        <f t="array" aca="1" ref="I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4" s="20" t="str" cm="1">
        <f t="array" aca="1" ref="J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4" s="17" t="s">
        <v>375</v>
      </c>
      <c r="L24" s="17" t="s">
        <v>362</v>
      </c>
      <c r="M24" s="17" t="s">
        <v>362</v>
      </c>
      <c r="N24" s="17" t="s">
        <v>393</v>
      </c>
      <c r="O24" t="s">
        <v>8</v>
      </c>
      <c r="P24" s="17" t="s">
        <v>379</v>
      </c>
      <c r="Q24" s="17" t="s">
        <v>432</v>
      </c>
      <c r="R2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4" s="17" t="s">
        <v>362</v>
      </c>
      <c r="T24" s="17" t="s">
        <v>44</v>
      </c>
      <c r="U24" s="17" t="s">
        <v>366</v>
      </c>
      <c r="V24" s="17" cm="1">
        <f t="array" aca="1" ref="V2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4" s="17" cm="1">
        <f t="array" aca="1" ref="W2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24" s="1" t="s">
        <v>410</v>
      </c>
      <c r="Y24" s="2" t="s">
        <v>433</v>
      </c>
      <c r="Z24" s="17" t="s">
        <v>369</v>
      </c>
      <c r="AA24" s="17" t="s">
        <v>370</v>
      </c>
      <c r="AB24" s="20"/>
    </row>
    <row r="25" spans="1:28">
      <c r="A25" t="s">
        <v>434</v>
      </c>
      <c r="B25" s="19" t="s">
        <v>40</v>
      </c>
      <c r="C25" s="17" t="s">
        <v>435</v>
      </c>
      <c r="D25" s="20" t="s">
        <v>358</v>
      </c>
      <c r="E25" s="21" t="str">
        <f ca="1">IF(zzz_20261002_Jars[[#This Row],[Jar Type]]="", "", TEXT(_xlfn.XLOOKUP(zzz_20261002_Jars[[#This Row],[Jar Type]], Containers!A:A, Containers!C:C), "General"))</f>
        <v>1892.7</v>
      </c>
      <c r="F25" s="19" t="s">
        <v>44</v>
      </c>
      <c r="G25" s="19" t="s">
        <v>431</v>
      </c>
      <c r="H25" s="20" t="s">
        <v>360</v>
      </c>
      <c r="I25" s="20" t="str" cm="1">
        <f t="array" aca="1" ref="I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5" s="20" t="str" cm="1">
        <f t="array" aca="1" ref="J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5" s="17" t="s">
        <v>375</v>
      </c>
      <c r="L25" s="17" t="s">
        <v>362</v>
      </c>
      <c r="M25" s="17" t="s">
        <v>362</v>
      </c>
      <c r="N25" s="17" t="s">
        <v>383</v>
      </c>
      <c r="O25" t="s">
        <v>8</v>
      </c>
      <c r="P25" s="17" t="s">
        <v>364</v>
      </c>
      <c r="Q25" s="20" t="s">
        <v>432</v>
      </c>
      <c r="R2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5" s="19" t="s">
        <v>6</v>
      </c>
      <c r="T25" s="19" t="s">
        <v>44</v>
      </c>
      <c r="U25" s="19" t="s">
        <v>366</v>
      </c>
      <c r="V25" s="19" cm="1">
        <f t="array" aca="1" ref="V2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5" s="19" cm="1">
        <f t="array" aca="1" ref="W2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25" s="1" t="s">
        <v>436</v>
      </c>
      <c r="Y25" s="2" t="s">
        <v>437</v>
      </c>
      <c r="Z25" s="17" t="s">
        <v>369</v>
      </c>
      <c r="AA25" s="17" t="s">
        <v>370</v>
      </c>
      <c r="AB25" s="17" t="s">
        <v>412</v>
      </c>
    </row>
    <row r="26" spans="1:28">
      <c r="A26" t="s">
        <v>438</v>
      </c>
      <c r="B26" s="19" t="s">
        <v>40</v>
      </c>
      <c r="C26" s="17" t="s">
        <v>439</v>
      </c>
      <c r="D26" s="20" t="s">
        <v>358</v>
      </c>
      <c r="E26" s="21" t="str">
        <f ca="1">IF(zzz_20261002_Jars[[#This Row],[Jar Type]]="", "", TEXT(_xlfn.XLOOKUP(zzz_20261002_Jars[[#This Row],[Jar Type]], Containers!A:A, Containers!C:C), "General"))</f>
        <v>1892.7</v>
      </c>
      <c r="F26" s="19" t="s">
        <v>44</v>
      </c>
      <c r="G26" s="19" t="s">
        <v>431</v>
      </c>
      <c r="H26" s="20" t="s">
        <v>360</v>
      </c>
      <c r="I26" s="20" t="str" cm="1">
        <f t="array" aca="1" ref="I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6" s="20" t="str" cm="1">
        <f t="array" aca="1" ref="J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6" s="17" t="s">
        <v>375</v>
      </c>
      <c r="L26" s="17" t="s">
        <v>362</v>
      </c>
      <c r="M26" s="17" t="s">
        <v>362</v>
      </c>
      <c r="N26" s="17" t="s">
        <v>440</v>
      </c>
      <c r="O26" t="s">
        <v>8</v>
      </c>
      <c r="P26" s="17" t="s">
        <v>379</v>
      </c>
      <c r="Q26" s="20" t="s">
        <v>432</v>
      </c>
      <c r="R26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6" s="19" t="s">
        <v>6</v>
      </c>
      <c r="T26" s="19" t="s">
        <v>44</v>
      </c>
      <c r="U26" s="19" t="s">
        <v>366</v>
      </c>
      <c r="V26" s="19" cm="1">
        <f t="array" aca="1" ref="V2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6" s="19" cm="1">
        <f t="array" aca="1" ref="W2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1.55</v>
      </c>
      <c r="X26" s="1" t="s">
        <v>379</v>
      </c>
      <c r="Y26" s="2" t="s">
        <v>441</v>
      </c>
      <c r="Z26" s="17" t="s">
        <v>369</v>
      </c>
      <c r="AA26" s="17" t="s">
        <v>370</v>
      </c>
      <c r="AB26" s="17" t="s">
        <v>412</v>
      </c>
    </row>
    <row r="27" spans="1:28">
      <c r="A27" t="s">
        <v>442</v>
      </c>
      <c r="B27" s="19" t="s">
        <v>40</v>
      </c>
      <c r="C27" s="17" t="s">
        <v>443</v>
      </c>
      <c r="D27" s="20" t="s">
        <v>358</v>
      </c>
      <c r="E27" s="21" t="str">
        <f ca="1">IF(zzz_20261002_Jars[[#This Row],[Jar Type]]="", "", TEXT(_xlfn.XLOOKUP(zzz_20261002_Jars[[#This Row],[Jar Type]], Containers!A:A, Containers!C:C), "General"))</f>
        <v>1892.7</v>
      </c>
      <c r="F27" s="19" t="s">
        <v>44</v>
      </c>
      <c r="G27" s="19" t="s">
        <v>431</v>
      </c>
      <c r="H27" s="20" t="s">
        <v>360</v>
      </c>
      <c r="I27" s="20" t="str" cm="1">
        <f t="array" aca="1" ref="I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7" s="20" t="str" cm="1">
        <f t="array" aca="1" ref="J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7" s="17" t="s">
        <v>375</v>
      </c>
      <c r="L27" s="17" t="s">
        <v>362</v>
      </c>
      <c r="M27" s="17" t="s">
        <v>362</v>
      </c>
      <c r="N27" s="17" t="s">
        <v>444</v>
      </c>
      <c r="O27" t="s">
        <v>8</v>
      </c>
      <c r="P27" s="17" t="s">
        <v>445</v>
      </c>
      <c r="Q27" s="20" t="s">
        <v>432</v>
      </c>
      <c r="R27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7" s="19" t="s">
        <v>6</v>
      </c>
      <c r="T27" s="19" t="s">
        <v>44</v>
      </c>
      <c r="U27" s="19" t="s">
        <v>366</v>
      </c>
      <c r="V27" s="19" cm="1">
        <f t="array" aca="1" ref="V2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7" s="19" cm="1">
        <f t="array" aca="1" ref="W2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1.57</v>
      </c>
      <c r="X27" s="1" t="s">
        <v>379</v>
      </c>
      <c r="Y27" s="2" t="s">
        <v>446</v>
      </c>
      <c r="Z27" s="17" t="s">
        <v>369</v>
      </c>
      <c r="AA27" s="17" t="s">
        <v>370</v>
      </c>
      <c r="AB27" s="17" t="s">
        <v>447</v>
      </c>
    </row>
    <row r="28" spans="1:28">
      <c r="A28" t="s">
        <v>448</v>
      </c>
      <c r="B28" s="19" t="s">
        <v>40</v>
      </c>
      <c r="C28" s="17" t="s">
        <v>449</v>
      </c>
      <c r="D28" s="20" t="s">
        <v>450</v>
      </c>
      <c r="E28" s="21" t="str">
        <f ca="1">IF(zzz_20261002_Jars[[#This Row],[Jar Type]]="", "", TEXT(_xlfn.XLOOKUP(zzz_20261002_Jars[[#This Row],[Jar Type]], Containers!A:A, Containers!C:C), "General"))</f>
        <v>1892.7</v>
      </c>
      <c r="F28" s="19" t="s">
        <v>6</v>
      </c>
      <c r="G28" s="19" t="s">
        <v>451</v>
      </c>
      <c r="H28" s="20" t="s">
        <v>452</v>
      </c>
      <c r="I28" s="20" t="str" cm="1">
        <f t="array" aca="1" ref="I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8" s="20" t="str" cm="1">
        <f t="array" aca="1" ref="J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8" s="17" t="s">
        <v>375</v>
      </c>
      <c r="L28" s="17" t="s">
        <v>362</v>
      </c>
      <c r="M28" s="17" t="s">
        <v>362</v>
      </c>
      <c r="N28" s="19" t="s">
        <v>453</v>
      </c>
      <c r="O28" t="s">
        <v>8</v>
      </c>
      <c r="P28" s="19" t="s">
        <v>445</v>
      </c>
      <c r="Q28" s="19" t="s">
        <v>454</v>
      </c>
      <c r="R28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8" s="17" t="s">
        <v>362</v>
      </c>
      <c r="T28" s="17" t="s">
        <v>44</v>
      </c>
      <c r="U28" s="17" t="s">
        <v>366</v>
      </c>
      <c r="V28" s="17" cm="1">
        <f t="array" aca="1" ref="V2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8" s="17" cm="1">
        <f t="array" aca="1" ref="W2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1.77</v>
      </c>
      <c r="X28" s="19"/>
      <c r="Y28" s="19"/>
      <c r="Z28" s="17" t="s">
        <v>369</v>
      </c>
      <c r="AA28" s="17" t="s">
        <v>370</v>
      </c>
    </row>
    <row r="29" spans="1:28">
      <c r="A29" t="s">
        <v>455</v>
      </c>
      <c r="B29" s="19" t="s">
        <v>40</v>
      </c>
      <c r="C29" s="17" t="s">
        <v>456</v>
      </c>
      <c r="D29" s="20" t="s">
        <v>450</v>
      </c>
      <c r="E29" s="21" t="str">
        <f ca="1">IF(zzz_20261002_Jars[[#This Row],[Jar Type]]="", "", TEXT(_xlfn.XLOOKUP(zzz_20261002_Jars[[#This Row],[Jar Type]], Containers!A:A, Containers!C:C), "General"))</f>
        <v>1892.7</v>
      </c>
      <c r="F29" s="19" t="s">
        <v>6</v>
      </c>
      <c r="G29" s="21" t="s">
        <v>451</v>
      </c>
      <c r="H29" s="20" t="s">
        <v>452</v>
      </c>
      <c r="I29" s="20" t="str" cm="1">
        <f t="array" aca="1" ref="I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9" s="20" t="str" cm="1">
        <f t="array" aca="1" ref="J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9" s="17" t="s">
        <v>457</v>
      </c>
      <c r="L29" s="17" t="s">
        <v>362</v>
      </c>
      <c r="M29" s="17" t="s">
        <v>362</v>
      </c>
      <c r="N29" s="19" t="s">
        <v>458</v>
      </c>
      <c r="O29" t="s">
        <v>8</v>
      </c>
      <c r="P29" s="21" t="s">
        <v>445</v>
      </c>
      <c r="Q29" s="19" t="s">
        <v>459</v>
      </c>
      <c r="R29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9" s="17" t="s">
        <v>362</v>
      </c>
      <c r="T29" s="17" t="s">
        <v>44</v>
      </c>
      <c r="U29" s="17" t="s">
        <v>366</v>
      </c>
      <c r="V29" s="17" cm="1">
        <f t="array" aca="1" ref="V2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1650</v>
      </c>
      <c r="W29" s="17" cm="1">
        <f t="array" aca="1" ref="W2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1.72</v>
      </c>
      <c r="X29" s="19"/>
      <c r="Y29" s="19"/>
      <c r="Z29" s="17" t="s">
        <v>369</v>
      </c>
      <c r="AA29" s="17" t="s">
        <v>370</v>
      </c>
    </row>
    <row r="30" spans="1:28">
      <c r="A30" t="s">
        <v>460</v>
      </c>
      <c r="B30" s="19" t="s">
        <v>40</v>
      </c>
      <c r="C30" s="17" t="s">
        <v>460</v>
      </c>
      <c r="D30" s="20" t="s">
        <v>450</v>
      </c>
      <c r="E30" s="21" t="str">
        <f ca="1">IF(zzz_20261002_Jars[[#This Row],[Jar Type]]="", "", TEXT(_xlfn.XLOOKUP(zzz_20261002_Jars[[#This Row],[Jar Type]], Containers!A:A, Containers!C:C), "General"))</f>
        <v>1892.7</v>
      </c>
      <c r="F30" s="19" t="s">
        <v>6</v>
      </c>
      <c r="G30" s="21" t="s">
        <v>451</v>
      </c>
      <c r="H30" s="20" t="s">
        <v>452</v>
      </c>
      <c r="I30" s="20" t="str" cm="1">
        <f t="array" aca="1" ref="I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0" s="20" t="str" cm="1">
        <f t="array" aca="1" ref="J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0" s="17" t="s">
        <v>461</v>
      </c>
      <c r="L30" s="17" t="s">
        <v>362</v>
      </c>
      <c r="M30" s="17" t="s">
        <v>362</v>
      </c>
      <c r="N30" s="19" t="s">
        <v>462</v>
      </c>
      <c r="O30" t="s">
        <v>8</v>
      </c>
      <c r="P30" s="21" t="s">
        <v>445</v>
      </c>
      <c r="Q30" s="19" t="s">
        <v>463</v>
      </c>
      <c r="R30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30" s="17" t="s">
        <v>362</v>
      </c>
      <c r="T30" s="17" t="s">
        <v>44</v>
      </c>
      <c r="U30" s="17" t="s">
        <v>366</v>
      </c>
      <c r="V30" s="17" cm="1">
        <f t="array" aca="1" ref="V3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0" s="17" cm="1">
        <f t="array" aca="1" ref="W3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1.67</v>
      </c>
      <c r="X30" s="19"/>
      <c r="Y30" s="19"/>
      <c r="Z30" s="17" t="s">
        <v>369</v>
      </c>
      <c r="AA30" s="17" t="s">
        <v>370</v>
      </c>
    </row>
    <row r="31" spans="1:28">
      <c r="A31" t="s">
        <v>464</v>
      </c>
      <c r="B31" s="19" t="s">
        <v>40</v>
      </c>
      <c r="C31" s="17" t="s">
        <v>456</v>
      </c>
      <c r="D31" s="20" t="s">
        <v>450</v>
      </c>
      <c r="E31" s="21" t="str">
        <f ca="1">IF(zzz_20261002_Jars[[#This Row],[Jar Type]]="", "", TEXT(_xlfn.XLOOKUP(zzz_20261002_Jars[[#This Row],[Jar Type]], Containers!A:A, Containers!C:C), "General"))</f>
        <v>1892.7</v>
      </c>
      <c r="F31" s="19" t="s">
        <v>6</v>
      </c>
      <c r="G31" s="21" t="s">
        <v>451</v>
      </c>
      <c r="H31" s="20" t="s">
        <v>452</v>
      </c>
      <c r="I31" s="20" t="str" cm="1">
        <f t="array" aca="1" ref="I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1" s="20" t="str" cm="1">
        <f t="array" aca="1" ref="J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1" s="17" t="s">
        <v>465</v>
      </c>
      <c r="L31" s="17" t="s">
        <v>362</v>
      </c>
      <c r="M31" s="17" t="s">
        <v>362</v>
      </c>
      <c r="N31" s="19" t="s">
        <v>466</v>
      </c>
      <c r="O31" t="s">
        <v>8</v>
      </c>
      <c r="P31" s="21" t="s">
        <v>445</v>
      </c>
      <c r="Q31" s="19" t="s">
        <v>467</v>
      </c>
      <c r="R31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1" s="17" t="s">
        <v>362</v>
      </c>
      <c r="T31" s="17" t="s">
        <v>44</v>
      </c>
      <c r="U31" s="17" t="s">
        <v>366</v>
      </c>
      <c r="V31" s="17" cm="1">
        <f t="array" aca="1" ref="V3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31" s="17" cm="1">
        <f t="array" aca="1" ref="W3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1.64</v>
      </c>
      <c r="X31" s="19"/>
      <c r="Y31" s="19"/>
      <c r="Z31" s="17" t="s">
        <v>369</v>
      </c>
      <c r="AA31" s="17" t="s">
        <v>370</v>
      </c>
    </row>
    <row r="32" spans="1:28">
      <c r="A32" t="s">
        <v>468</v>
      </c>
      <c r="B32" s="19" t="s">
        <v>40</v>
      </c>
      <c r="C32" s="17" t="s">
        <v>456</v>
      </c>
      <c r="D32" s="20" t="s">
        <v>450</v>
      </c>
      <c r="E32" s="21" t="str">
        <f ca="1">IF(zzz_20261002_Jars[[#This Row],[Jar Type]]="", "", TEXT(_xlfn.XLOOKUP(zzz_20261002_Jars[[#This Row],[Jar Type]], Containers!A:A, Containers!C:C), "General"))</f>
        <v>1892.7</v>
      </c>
      <c r="F32" s="19" t="s">
        <v>6</v>
      </c>
      <c r="G32" s="19" t="s">
        <v>469</v>
      </c>
      <c r="H32" s="20" t="s">
        <v>452</v>
      </c>
      <c r="I32" s="20" t="str" cm="1">
        <f t="array" aca="1" ref="I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2" s="20" t="str" cm="1">
        <f t="array" aca="1" ref="J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2" s="19" t="s">
        <v>361</v>
      </c>
      <c r="L32" s="17" t="s">
        <v>362</v>
      </c>
      <c r="M32" s="17" t="s">
        <v>362</v>
      </c>
      <c r="N32" s="19" t="s">
        <v>470</v>
      </c>
      <c r="O32" t="s">
        <v>8</v>
      </c>
      <c r="P32" s="17" t="s">
        <v>379</v>
      </c>
      <c r="Q32" s="19" t="s">
        <v>471</v>
      </c>
      <c r="R32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2" s="17" t="s">
        <v>362</v>
      </c>
      <c r="T32" s="17" t="s">
        <v>44</v>
      </c>
      <c r="U32" s="17" t="s">
        <v>366</v>
      </c>
      <c r="V32" s="17" cm="1">
        <f t="array" aca="1" ref="V3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32" s="17" cm="1">
        <f t="array" aca="1" ref="W3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1.83</v>
      </c>
      <c r="X32" s="19"/>
      <c r="Y32" s="19"/>
      <c r="Z32" s="17" t="s">
        <v>369</v>
      </c>
      <c r="AA32" s="17" t="s">
        <v>370</v>
      </c>
    </row>
    <row r="33" spans="1:28">
      <c r="A33" t="s">
        <v>472</v>
      </c>
      <c r="B33" s="19" t="s">
        <v>42</v>
      </c>
      <c r="C33" s="19" t="s">
        <v>317</v>
      </c>
      <c r="D33" s="20" t="s">
        <v>473</v>
      </c>
      <c r="E33" s="17" t="str">
        <f ca="1">IF(zzz_20261002_Jars[[#This Row],[Jar Type]]="", "", TEXT(_xlfn.XLOOKUP(zzz_20261002_Jars[[#This Row],[Jar Type]], Containers!A:A, Containers!C:C), "General"))</f>
        <v>371</v>
      </c>
      <c r="F33" s="19" t="s">
        <v>6</v>
      </c>
      <c r="G33" s="19" t="s">
        <v>469</v>
      </c>
      <c r="H33" s="20" t="s">
        <v>452</v>
      </c>
      <c r="I33" s="20" t="str" cm="1">
        <f t="array" aca="1" ref="I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3" s="20" t="str" cm="1">
        <f t="array" aca="1" ref="J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33" s="17" t="s">
        <v>474</v>
      </c>
      <c r="L33" s="17" t="s">
        <v>362</v>
      </c>
      <c r="M33" s="17" t="s">
        <v>362</v>
      </c>
      <c r="N33" s="19" t="s">
        <v>475</v>
      </c>
      <c r="O33" t="s">
        <v>8</v>
      </c>
      <c r="P33" s="20" t="s">
        <v>362</v>
      </c>
      <c r="Q33" s="20" t="s">
        <v>362</v>
      </c>
      <c r="R33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3" s="17" t="s">
        <v>362</v>
      </c>
      <c r="T33" s="17" t="s">
        <v>44</v>
      </c>
      <c r="U33" s="17" t="s">
        <v>366</v>
      </c>
      <c r="V33" s="17" cm="1">
        <f t="array" aca="1" ref="V3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33" s="17" cm="1">
        <f t="array" aca="1" ref="W3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0.23</v>
      </c>
      <c r="X33" s="20"/>
      <c r="Y33" s="20"/>
      <c r="Z33" s="17" t="s">
        <v>369</v>
      </c>
      <c r="AA33" s="17" t="s">
        <v>370</v>
      </c>
    </row>
    <row r="34" spans="1:28">
      <c r="A34" t="s">
        <v>150</v>
      </c>
      <c r="B34" s="19" t="s">
        <v>40</v>
      </c>
      <c r="C34" s="19" t="s">
        <v>317</v>
      </c>
      <c r="D34" s="20" t="s">
        <v>473</v>
      </c>
      <c r="E34" s="19" t="str">
        <f ca="1">IF(zzz_20261002_Jars[[#This Row],[Jar Type]]="", "", TEXT(_xlfn.XLOOKUP(zzz_20261002_Jars[[#This Row],[Jar Type]], Containers!A:A, Containers!C:C), "General"))</f>
        <v>1892.7</v>
      </c>
      <c r="F34" s="19" t="s">
        <v>6</v>
      </c>
      <c r="G34" s="19" t="s">
        <v>476</v>
      </c>
      <c r="H34" s="20" t="s">
        <v>452</v>
      </c>
      <c r="I34" s="20" t="str" cm="1">
        <f t="array" aca="1" ref="I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4" s="20" t="str" cm="1">
        <f t="array" aca="1" ref="J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34" s="17" t="s">
        <v>477</v>
      </c>
      <c r="L34" s="17" t="s">
        <v>362</v>
      </c>
      <c r="M34" s="17" t="s">
        <v>362</v>
      </c>
      <c r="N34" s="17" t="s">
        <v>44</v>
      </c>
      <c r="O34" t="s">
        <v>8</v>
      </c>
      <c r="P34" s="20" t="s">
        <v>362</v>
      </c>
      <c r="Q34" s="20" t="s">
        <v>362</v>
      </c>
      <c r="R34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4" s="17" t="s">
        <v>362</v>
      </c>
      <c r="T34" s="17" t="s">
        <v>44</v>
      </c>
      <c r="U34" s="17" t="s">
        <v>366</v>
      </c>
      <c r="V34" s="17" cm="1">
        <f t="array" aca="1" ref="V3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1775</v>
      </c>
      <c r="W34" s="17" cm="1">
        <f t="array" aca="1" ref="W3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X34" s="20"/>
      <c r="Y34" s="20"/>
      <c r="Z34" s="17" t="s">
        <v>369</v>
      </c>
      <c r="AA34" s="17" t="s">
        <v>370</v>
      </c>
    </row>
    <row r="35" spans="1:28">
      <c r="A35" t="s">
        <v>478</v>
      </c>
      <c r="B35" s="17" t="s">
        <v>48</v>
      </c>
      <c r="C35" s="8" t="s">
        <v>317</v>
      </c>
      <c r="D35" s="20" t="s">
        <v>473</v>
      </c>
      <c r="E35" s="19" t="str">
        <f ca="1">IF(zzz_20261002_Jars[[#This Row],[Jar Type]]="", "", TEXT(_xlfn.XLOOKUP(zzz_20261002_Jars[[#This Row],[Jar Type]], Containers!A:A, Containers!C:C), "General"))</f>
        <v>354</v>
      </c>
      <c r="F35" s="19" t="s">
        <v>6</v>
      </c>
      <c r="G35" s="17" t="s">
        <v>479</v>
      </c>
      <c r="H35" s="20" t="s">
        <v>452</v>
      </c>
      <c r="I35" s="20" t="str" cm="1">
        <f t="array" aca="1" ref="I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5" s="20" t="str" cm="1">
        <f t="array" aca="1" ref="J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35" s="17" t="s">
        <v>60</v>
      </c>
      <c r="L35" s="17" t="s">
        <v>362</v>
      </c>
      <c r="M35" s="17" t="s">
        <v>362</v>
      </c>
      <c r="N35" s="19" t="s">
        <v>480</v>
      </c>
      <c r="O35" t="s">
        <v>8</v>
      </c>
      <c r="P35" s="17" t="s">
        <v>410</v>
      </c>
      <c r="Q35" s="20" t="s">
        <v>362</v>
      </c>
      <c r="R3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5" s="17" t="s">
        <v>362</v>
      </c>
      <c r="T35" s="17" t="s">
        <v>44</v>
      </c>
      <c r="U35" s="17" t="s">
        <v>366</v>
      </c>
      <c r="V35" s="17" cm="1">
        <f t="array" aca="1" ref="V3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35" s="17" cm="1">
        <f t="array" aca="1" ref="W3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0.17</v>
      </c>
      <c r="X35" s="20"/>
      <c r="Y35" s="20"/>
      <c r="Z35" s="20" t="s">
        <v>481</v>
      </c>
      <c r="AA35" s="17" t="s">
        <v>370</v>
      </c>
    </row>
    <row r="36" spans="1:28">
      <c r="A36" t="s">
        <v>482</v>
      </c>
      <c r="B36" s="19" t="s">
        <v>40</v>
      </c>
      <c r="C36" s="17" t="s">
        <v>439</v>
      </c>
      <c r="D36" s="20" t="s">
        <v>450</v>
      </c>
      <c r="E36" s="21" t="str">
        <f ca="1">IF(zzz_20261002_Jars[[#This Row],[Jar Type]]="", "", TEXT(_xlfn.XLOOKUP(zzz_20261002_Jars[[#This Row],[Jar Type]], Containers!A:A, Containers!C:C), "General"))</f>
        <v>1892.7</v>
      </c>
      <c r="F36" s="19" t="s">
        <v>6</v>
      </c>
      <c r="G36" s="17" t="s">
        <v>479</v>
      </c>
      <c r="H36" s="20" t="s">
        <v>452</v>
      </c>
      <c r="I36" s="20" t="str" cm="1">
        <f t="array" aca="1" ref="I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6" s="20" t="str" cm="1">
        <f t="array" aca="1" ref="J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6" s="17" t="s">
        <v>483</v>
      </c>
      <c r="L36" s="17" t="s">
        <v>362</v>
      </c>
      <c r="M36" s="17" t="s">
        <v>362</v>
      </c>
      <c r="N36" s="17" t="s">
        <v>484</v>
      </c>
      <c r="O36" t="s">
        <v>8</v>
      </c>
      <c r="P36" s="17" t="s">
        <v>367</v>
      </c>
      <c r="Q36" s="17" t="s">
        <v>485</v>
      </c>
      <c r="R3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6" s="17" t="s">
        <v>362</v>
      </c>
      <c r="T36" s="17" t="s">
        <v>44</v>
      </c>
      <c r="U36" s="17" t="s">
        <v>366</v>
      </c>
      <c r="V36" s="17" cm="1">
        <f t="array" aca="1" ref="V3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1800</v>
      </c>
      <c r="W36" s="17" cm="1">
        <f t="array" aca="1" ref="W3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1.87</v>
      </c>
      <c r="Z36" s="17" t="s">
        <v>369</v>
      </c>
      <c r="AA36" s="17" t="s">
        <v>370</v>
      </c>
    </row>
    <row r="37" spans="1:28">
      <c r="A37" t="s">
        <v>486</v>
      </c>
      <c r="B37" s="19" t="s">
        <v>40</v>
      </c>
      <c r="C37" s="17" t="s">
        <v>456</v>
      </c>
      <c r="D37" s="20" t="s">
        <v>450</v>
      </c>
      <c r="E37" s="21" t="str">
        <f ca="1">IF(zzz_20261002_Jars[[#This Row],[Jar Type]]="", "", TEXT(_xlfn.XLOOKUP(zzz_20261002_Jars[[#This Row],[Jar Type]], Containers!A:A, Containers!C:C), "General"))</f>
        <v>1892.7</v>
      </c>
      <c r="F37" s="19" t="s">
        <v>6</v>
      </c>
      <c r="G37" s="17" t="s">
        <v>479</v>
      </c>
      <c r="H37" s="20" t="s">
        <v>452</v>
      </c>
      <c r="I37" s="20" t="str" cm="1">
        <f t="array" aca="1" ref="I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7" s="20" t="str" cm="1">
        <f t="array" aca="1" ref="J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7" s="17" t="s">
        <v>375</v>
      </c>
      <c r="L37" s="17" t="s">
        <v>362</v>
      </c>
      <c r="M37" s="17" t="s">
        <v>362</v>
      </c>
      <c r="N37" s="17" t="s">
        <v>470</v>
      </c>
      <c r="O37" t="s">
        <v>8</v>
      </c>
      <c r="P37" s="17" t="s">
        <v>379</v>
      </c>
      <c r="Q37" s="17" t="s">
        <v>487</v>
      </c>
      <c r="R3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7" s="17" t="s">
        <v>362</v>
      </c>
      <c r="T37" s="19" t="s">
        <v>426</v>
      </c>
      <c r="U37" s="19" t="s">
        <v>488</v>
      </c>
      <c r="V37" s="17" cm="1">
        <f t="array" aca="1" ref="V3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37" s="17" cm="1">
        <f t="array" aca="1" ref="W3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3.63</v>
      </c>
      <c r="Z37" s="17" t="s">
        <v>369</v>
      </c>
      <c r="AA37" s="17" t="s">
        <v>370</v>
      </c>
    </row>
    <row r="38" spans="1:28">
      <c r="A38" t="s">
        <v>489</v>
      </c>
      <c r="B38" s="19" t="s">
        <v>40</v>
      </c>
      <c r="C38" s="17" t="s">
        <v>490</v>
      </c>
      <c r="D38" s="20" t="s">
        <v>450</v>
      </c>
      <c r="E38" s="17" t="str">
        <f ca="1">IF(zzz_20261002_Jars[[#This Row],[Jar Type]]="", "", TEXT(_xlfn.XLOOKUP(zzz_20261002_Jars[[#This Row],[Jar Type]], Containers!A:A, Containers!C:C), "General"))</f>
        <v>1892.7</v>
      </c>
      <c r="F38" s="19" t="s">
        <v>6</v>
      </c>
      <c r="G38" s="17" t="s">
        <v>479</v>
      </c>
      <c r="H38" s="20" t="s">
        <v>452</v>
      </c>
      <c r="I38" s="20" t="str" cm="1">
        <f t="array" aca="1" ref="I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8" s="20" t="str" cm="1">
        <f t="array" aca="1" ref="J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8" s="17" t="s">
        <v>457</v>
      </c>
      <c r="L38" s="17" t="s">
        <v>362</v>
      </c>
      <c r="M38" s="17" t="s">
        <v>362</v>
      </c>
      <c r="N38" s="17" t="s">
        <v>491</v>
      </c>
      <c r="O38" t="s">
        <v>8</v>
      </c>
      <c r="P38" s="17" t="s">
        <v>364</v>
      </c>
      <c r="Q38" s="17" t="s">
        <v>492</v>
      </c>
      <c r="R3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8" s="19" t="s">
        <v>6</v>
      </c>
      <c r="T38" s="19" t="s">
        <v>44</v>
      </c>
      <c r="U38" s="19" t="s">
        <v>366</v>
      </c>
      <c r="V38" s="19" cm="1">
        <f t="array" aca="1" ref="V3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1651</v>
      </c>
      <c r="W38" s="19" cm="1">
        <f t="array" aca="1" ref="W3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1.71</v>
      </c>
      <c r="Z38" s="17" t="s">
        <v>369</v>
      </c>
      <c r="AA38" s="17" t="s">
        <v>370</v>
      </c>
      <c r="AB38" s="17" t="s">
        <v>493</v>
      </c>
    </row>
    <row r="39" spans="1:28">
      <c r="A39" t="s">
        <v>494</v>
      </c>
      <c r="B39" s="19" t="s">
        <v>40</v>
      </c>
      <c r="C39" s="17" t="s">
        <v>495</v>
      </c>
      <c r="D39" s="20" t="s">
        <v>450</v>
      </c>
      <c r="E39" s="17" t="str">
        <f ca="1">IF(zzz_20261002_Jars[[#This Row],[Jar Type]]="", "", TEXT(_xlfn.XLOOKUP(zzz_20261002_Jars[[#This Row],[Jar Type]], Containers!A:A, Containers!C:C), "General"))</f>
        <v>1892.7</v>
      </c>
      <c r="F39" s="19" t="s">
        <v>6</v>
      </c>
      <c r="G39" s="17" t="s">
        <v>479</v>
      </c>
      <c r="H39" s="20" t="s">
        <v>452</v>
      </c>
      <c r="I39" s="20" t="str" cm="1">
        <f t="array" aca="1" ref="I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9" s="20" t="str" cm="1">
        <f t="array" aca="1" ref="J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9" s="17" t="s">
        <v>461</v>
      </c>
      <c r="L39" s="17" t="s">
        <v>362</v>
      </c>
      <c r="M39" s="17" t="s">
        <v>362</v>
      </c>
      <c r="N39" s="17" t="s">
        <v>496</v>
      </c>
      <c r="O39" t="s">
        <v>8</v>
      </c>
      <c r="P39" s="17" t="s">
        <v>379</v>
      </c>
      <c r="Q39" s="17" t="s">
        <v>497</v>
      </c>
      <c r="R3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9" s="17" t="s">
        <v>362</v>
      </c>
      <c r="T39" s="17" t="s">
        <v>44</v>
      </c>
      <c r="U39" s="17" t="s">
        <v>366</v>
      </c>
      <c r="V39" s="17" cm="1">
        <f t="array" aca="1" ref="V3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9" s="17" cm="1">
        <f t="array" aca="1" ref="W3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1.66</v>
      </c>
      <c r="Z39" s="17" t="s">
        <v>369</v>
      </c>
      <c r="AA39" s="17" t="s">
        <v>370</v>
      </c>
    </row>
    <row r="40" spans="1:28">
      <c r="A40" t="s">
        <v>498</v>
      </c>
      <c r="B40" s="19" t="s">
        <v>40</v>
      </c>
      <c r="C40" s="17" t="s">
        <v>498</v>
      </c>
      <c r="D40" s="20" t="s">
        <v>450</v>
      </c>
      <c r="E40" s="17" t="str">
        <f ca="1">IF(zzz_20261002_Jars[[#This Row],[Jar Type]]="", "", TEXT(_xlfn.XLOOKUP(zzz_20261002_Jars[[#This Row],[Jar Type]], Containers!A:A, Containers!C:C), "General"))</f>
        <v>1892.7</v>
      </c>
      <c r="F40" s="19" t="s">
        <v>6</v>
      </c>
      <c r="G40" s="17" t="s">
        <v>479</v>
      </c>
      <c r="H40" s="20" t="s">
        <v>452</v>
      </c>
      <c r="I40" s="20" t="str" cm="1">
        <f t="array" aca="1" ref="I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0" s="20" t="str" cm="1">
        <f t="array" aca="1" ref="J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0" s="17" t="s">
        <v>465</v>
      </c>
      <c r="L40" s="17" t="s">
        <v>362</v>
      </c>
      <c r="M40" s="17" t="s">
        <v>362</v>
      </c>
      <c r="N40" s="17" t="s">
        <v>499</v>
      </c>
      <c r="O40" t="s">
        <v>8</v>
      </c>
      <c r="P40" s="17" t="s">
        <v>379</v>
      </c>
      <c r="Q40" s="17" t="s">
        <v>500</v>
      </c>
      <c r="R4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0" s="17" t="s">
        <v>362</v>
      </c>
      <c r="T40" s="17" t="s">
        <v>44</v>
      </c>
      <c r="U40" s="17" t="s">
        <v>366</v>
      </c>
      <c r="V40" s="17" cm="1">
        <f t="array" aca="1" ref="V4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40" s="17" cm="1">
        <f t="array" aca="1" ref="W4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1.61</v>
      </c>
      <c r="Z40" s="17" t="s">
        <v>369</v>
      </c>
      <c r="AA40" s="17" t="s">
        <v>370</v>
      </c>
    </row>
    <row r="41" spans="1:28">
      <c r="A41" t="s">
        <v>147</v>
      </c>
      <c r="B41" s="19" t="s">
        <v>40</v>
      </c>
      <c r="C41" s="17" t="s">
        <v>147</v>
      </c>
      <c r="D41" s="20" t="s">
        <v>450</v>
      </c>
      <c r="E41" s="17" t="str">
        <f ca="1">IF(zzz_20261002_Jars[[#This Row],[Jar Type]]="", "", TEXT(_xlfn.XLOOKUP(zzz_20261002_Jars[[#This Row],[Jar Type]], Containers!A:A, Containers!C:C), "General"))</f>
        <v>1892.7</v>
      </c>
      <c r="F41" s="19" t="s">
        <v>6</v>
      </c>
      <c r="G41" s="17" t="s">
        <v>479</v>
      </c>
      <c r="H41" s="20" t="s">
        <v>452</v>
      </c>
      <c r="I41" s="20" t="str" cm="1">
        <f t="array" aca="1" ref="I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1" s="20" t="str" cm="1">
        <f t="array" aca="1" ref="J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1" s="17" t="s">
        <v>501</v>
      </c>
      <c r="L41" s="17" t="s">
        <v>362</v>
      </c>
      <c r="M41" s="17" t="s">
        <v>362</v>
      </c>
      <c r="N41" s="17" t="s">
        <v>502</v>
      </c>
      <c r="O41" t="s">
        <v>8</v>
      </c>
      <c r="P41" s="17" t="s">
        <v>379</v>
      </c>
      <c r="Q41" s="17" t="s">
        <v>503</v>
      </c>
      <c r="R4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1" s="17" t="s">
        <v>362</v>
      </c>
      <c r="T41" s="17" t="s">
        <v>44</v>
      </c>
      <c r="U41" s="17" t="s">
        <v>366</v>
      </c>
      <c r="V41" s="17" cm="1">
        <f t="array" aca="1" ref="V4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1500</v>
      </c>
      <c r="W41" s="17" cm="1">
        <f t="array" aca="1" ref="W4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1.54</v>
      </c>
      <c r="Z41" s="17" t="s">
        <v>369</v>
      </c>
      <c r="AA41" s="17" t="s">
        <v>370</v>
      </c>
    </row>
    <row r="42" spans="1:28">
      <c r="A42" t="s">
        <v>504</v>
      </c>
      <c r="B42" s="17" t="s">
        <v>54</v>
      </c>
      <c r="C42" s="8" t="s">
        <v>317</v>
      </c>
      <c r="D42" s="17" t="s">
        <v>473</v>
      </c>
      <c r="E42" s="17" t="str">
        <f ca="1">IF(zzz_20261002_Jars[[#This Row],[Jar Type]]="", "", TEXT(_xlfn.XLOOKUP(zzz_20261002_Jars[[#This Row],[Jar Type]], Containers!A:A, Containers!C:C), "General"))</f>
        <v>361</v>
      </c>
      <c r="F42" s="19" t="s">
        <v>6</v>
      </c>
      <c r="G42" s="19" t="s">
        <v>505</v>
      </c>
      <c r="H42" s="20" t="s">
        <v>452</v>
      </c>
      <c r="I42" s="20" t="str" cm="1">
        <f t="array" aca="1" ref="I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42" s="20" t="str" cm="1">
        <f t="array" aca="1" ref="J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42" s="17" t="s">
        <v>474</v>
      </c>
      <c r="L42" s="17" t="s">
        <v>362</v>
      </c>
      <c r="M42" s="17" t="s">
        <v>362</v>
      </c>
      <c r="N42" s="17" t="s">
        <v>44</v>
      </c>
      <c r="O42" t="s">
        <v>8</v>
      </c>
      <c r="P42" s="17" t="s">
        <v>362</v>
      </c>
      <c r="Q42" s="17" t="s">
        <v>362</v>
      </c>
      <c r="R4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42" s="17" t="s">
        <v>362</v>
      </c>
      <c r="T42" s="17" t="s">
        <v>44</v>
      </c>
      <c r="U42" s="17" t="s">
        <v>366</v>
      </c>
      <c r="V42" s="17" cm="1">
        <f t="array" aca="1" ref="V4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42" s="17" cm="1">
        <f t="array" aca="1" ref="W4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2" s="17" t="s">
        <v>481</v>
      </c>
      <c r="AA42" s="17" t="s">
        <v>370</v>
      </c>
    </row>
    <row r="43" spans="1:28">
      <c r="A43" t="s">
        <v>506</v>
      </c>
      <c r="B43" s="17" t="s">
        <v>59</v>
      </c>
      <c r="C43" s="8" t="s">
        <v>317</v>
      </c>
      <c r="D43" s="17" t="s">
        <v>473</v>
      </c>
      <c r="E43" s="17" t="str">
        <f ca="1">IF(zzz_20261002_Jars[[#This Row],[Jar Type]]="", "", TEXT(_xlfn.XLOOKUP(zzz_20261002_Jars[[#This Row],[Jar Type]], Containers!A:A, Containers!C:C), "General"))</f>
        <v>250</v>
      </c>
      <c r="F43" s="19" t="s">
        <v>6</v>
      </c>
      <c r="G43" s="19" t="s">
        <v>507</v>
      </c>
      <c r="H43" s="20" t="s">
        <v>452</v>
      </c>
      <c r="I43" s="20" t="str" cm="1">
        <f t="array" aca="1" ref="I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3" s="20" t="str" cm="1">
        <f t="array" aca="1" ref="J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3" s="19" t="s">
        <v>508</v>
      </c>
      <c r="L43" s="17" t="s">
        <v>362</v>
      </c>
      <c r="M43" s="17" t="s">
        <v>362</v>
      </c>
      <c r="N43" s="17" t="s">
        <v>44</v>
      </c>
      <c r="O43" t="s">
        <v>8</v>
      </c>
      <c r="P43" s="17" t="s">
        <v>362</v>
      </c>
      <c r="Q43" s="17" t="s">
        <v>362</v>
      </c>
      <c r="R4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3" s="19" t="s">
        <v>6</v>
      </c>
      <c r="T43" s="19" t="s">
        <v>44</v>
      </c>
      <c r="U43" s="19" t="s">
        <v>366</v>
      </c>
      <c r="V43" s="19" cm="1">
        <f t="array" aca="1" ref="V4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3" s="19" cm="1">
        <f t="array" aca="1" ref="W4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3" s="17" t="s">
        <v>509</v>
      </c>
      <c r="AA43" s="17" t="s">
        <v>370</v>
      </c>
      <c r="AB43" s="17" t="s">
        <v>510</v>
      </c>
    </row>
    <row r="44" spans="1:28">
      <c r="A44" t="s">
        <v>511</v>
      </c>
      <c r="B44" s="20" t="s">
        <v>59</v>
      </c>
      <c r="C44" s="8" t="s">
        <v>317</v>
      </c>
      <c r="D44" s="19" t="s">
        <v>473</v>
      </c>
      <c r="E44" s="17" t="str">
        <f ca="1">IF(zzz_20261002_Jars[[#This Row],[Jar Type]]="", "", TEXT(_xlfn.XLOOKUP(zzz_20261002_Jars[[#This Row],[Jar Type]], Containers!A:A, Containers!C:C), "General"))</f>
        <v>250</v>
      </c>
      <c r="F44" s="19" t="s">
        <v>6</v>
      </c>
      <c r="G44" s="21" t="s">
        <v>507</v>
      </c>
      <c r="H44" s="20" t="s">
        <v>452</v>
      </c>
      <c r="I44" s="20" t="str" cm="1">
        <f t="array" aca="1" ref="I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4" s="20" t="str" cm="1">
        <f t="array" aca="1" ref="J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4" s="21" t="s">
        <v>508</v>
      </c>
      <c r="L44" s="17" t="s">
        <v>362</v>
      </c>
      <c r="M44" s="17" t="s">
        <v>362</v>
      </c>
      <c r="N44" s="17" t="s">
        <v>44</v>
      </c>
      <c r="O44" t="s">
        <v>8</v>
      </c>
      <c r="P44" s="17" t="s">
        <v>362</v>
      </c>
      <c r="Q44" s="17" t="s">
        <v>362</v>
      </c>
      <c r="R4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4" s="19" t="s">
        <v>6</v>
      </c>
      <c r="T44" s="19" t="s">
        <v>44</v>
      </c>
      <c r="U44" s="19" t="s">
        <v>366</v>
      </c>
      <c r="V44" s="19" cm="1">
        <f t="array" aca="1" ref="V4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4" s="19" cm="1">
        <f t="array" aca="1" ref="W4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4" s="20" t="s">
        <v>509</v>
      </c>
      <c r="AA44" s="17" t="s">
        <v>370</v>
      </c>
      <c r="AB44" s="3" t="s">
        <v>510</v>
      </c>
    </row>
    <row r="45" spans="1:28">
      <c r="A45" t="s">
        <v>512</v>
      </c>
      <c r="B45" s="20" t="s">
        <v>59</v>
      </c>
      <c r="C45" s="8" t="s">
        <v>317</v>
      </c>
      <c r="D45" s="19" t="s">
        <v>473</v>
      </c>
      <c r="E45" s="17" t="str">
        <f ca="1">IF(zzz_20261002_Jars[[#This Row],[Jar Type]]="", "", TEXT(_xlfn.XLOOKUP(zzz_20261002_Jars[[#This Row],[Jar Type]], Containers!A:A, Containers!C:C), "General"))</f>
        <v>250</v>
      </c>
      <c r="F45" s="19" t="s">
        <v>6</v>
      </c>
      <c r="G45" s="21" t="s">
        <v>507</v>
      </c>
      <c r="H45" s="20" t="s">
        <v>452</v>
      </c>
      <c r="I45" s="20" t="str" cm="1">
        <f t="array" aca="1" ref="I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5" s="20" t="str" cm="1">
        <f t="array" aca="1" ref="J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5" s="21" t="s">
        <v>508</v>
      </c>
      <c r="L45" s="17" t="s">
        <v>362</v>
      </c>
      <c r="M45" s="17" t="s">
        <v>362</v>
      </c>
      <c r="N45" s="17" t="s">
        <v>44</v>
      </c>
      <c r="O45" t="s">
        <v>8</v>
      </c>
      <c r="P45" s="17" t="s">
        <v>362</v>
      </c>
      <c r="Q45" s="17" t="s">
        <v>362</v>
      </c>
      <c r="R4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5" s="19" t="s">
        <v>6</v>
      </c>
      <c r="T45" s="19" t="s">
        <v>44</v>
      </c>
      <c r="U45" s="19" t="s">
        <v>366</v>
      </c>
      <c r="V45" s="19" cm="1">
        <f t="array" aca="1" ref="V4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5" s="19" cm="1">
        <f t="array" aca="1" ref="W4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5" s="20" t="s">
        <v>509</v>
      </c>
      <c r="AA45" s="17" t="s">
        <v>370</v>
      </c>
      <c r="AB45" s="3" t="s">
        <v>510</v>
      </c>
    </row>
    <row r="46" spans="1:28">
      <c r="A46" t="s">
        <v>513</v>
      </c>
      <c r="B46" s="17" t="s">
        <v>59</v>
      </c>
      <c r="C46" s="8" t="s">
        <v>317</v>
      </c>
      <c r="D46" s="17" t="s">
        <v>473</v>
      </c>
      <c r="E46" s="17" t="str">
        <f ca="1">IF(zzz_20261002_Jars[[#This Row],[Jar Type]]="", "", TEXT(_xlfn.XLOOKUP(zzz_20261002_Jars[[#This Row],[Jar Type]], Containers!A:A, Containers!C:C), "General"))</f>
        <v>250</v>
      </c>
      <c r="F46" s="19" t="s">
        <v>44</v>
      </c>
      <c r="G46" s="19" t="s">
        <v>514</v>
      </c>
      <c r="H46" s="20" t="s">
        <v>452</v>
      </c>
      <c r="I46" s="20" t="str" cm="1">
        <f t="array" aca="1" ref="I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6" s="20" t="str" cm="1">
        <f t="array" aca="1" ref="J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6" s="19" t="s">
        <v>159</v>
      </c>
      <c r="L46" s="17" t="s">
        <v>362</v>
      </c>
      <c r="M46" s="17" t="s">
        <v>362</v>
      </c>
      <c r="N46" s="17" t="s">
        <v>44</v>
      </c>
      <c r="O46" t="s">
        <v>8</v>
      </c>
      <c r="P46" s="17" t="s">
        <v>362</v>
      </c>
      <c r="Q46" s="17" t="s">
        <v>362</v>
      </c>
      <c r="R4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6" s="19" t="s">
        <v>44</v>
      </c>
      <c r="T46" s="19" t="s">
        <v>44</v>
      </c>
      <c r="U46" s="19" t="s">
        <v>366</v>
      </c>
      <c r="V46" s="19" cm="1">
        <f t="array" aca="1" ref="V4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200</v>
      </c>
      <c r="W46" s="19" cm="1">
        <f t="array" aca="1" ref="W4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6" s="17" t="s">
        <v>509</v>
      </c>
      <c r="AA46" s="17" t="s">
        <v>370</v>
      </c>
    </row>
    <row r="47" spans="1:28">
      <c r="A47" t="s">
        <v>515</v>
      </c>
      <c r="B47" s="20" t="s">
        <v>59</v>
      </c>
      <c r="C47" s="8" t="s">
        <v>317</v>
      </c>
      <c r="D47" s="19" t="s">
        <v>473</v>
      </c>
      <c r="E47" s="17" t="str">
        <f ca="1">IF(zzz_20261002_Jars[[#This Row],[Jar Type]]="", "", TEXT(_xlfn.XLOOKUP(zzz_20261002_Jars[[#This Row],[Jar Type]], Containers!A:A, Containers!C:C), "General"))</f>
        <v>250</v>
      </c>
      <c r="F47" s="19" t="s">
        <v>44</v>
      </c>
      <c r="G47" s="21" t="s">
        <v>514</v>
      </c>
      <c r="H47" s="20" t="s">
        <v>452</v>
      </c>
      <c r="I47" s="20" t="str" cm="1">
        <f t="array" aca="1" ref="I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7" s="20" t="str" cm="1">
        <f t="array" aca="1" ref="J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7" s="21" t="s">
        <v>516</v>
      </c>
      <c r="L47" s="17" t="s">
        <v>362</v>
      </c>
      <c r="M47" s="17" t="s">
        <v>362</v>
      </c>
      <c r="N47" s="17" t="s">
        <v>44</v>
      </c>
      <c r="O47" t="s">
        <v>8</v>
      </c>
      <c r="P47" s="17" t="s">
        <v>362</v>
      </c>
      <c r="Q47" s="17" t="s">
        <v>362</v>
      </c>
      <c r="R4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7" s="19" t="s">
        <v>44</v>
      </c>
      <c r="T47" s="19" t="s">
        <v>44</v>
      </c>
      <c r="U47" s="19" t="s">
        <v>366</v>
      </c>
      <c r="V47" s="19" cm="1">
        <f t="array" aca="1" ref="V4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195</v>
      </c>
      <c r="W47" s="19" cm="1">
        <f t="array" aca="1" ref="W4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7" s="20" t="s">
        <v>509</v>
      </c>
      <c r="AA47" s="17" t="s">
        <v>370</v>
      </c>
    </row>
    <row r="48" spans="1:28">
      <c r="A48" t="s">
        <v>517</v>
      </c>
      <c r="B48" s="20" t="s">
        <v>59</v>
      </c>
      <c r="C48" s="8" t="s">
        <v>317</v>
      </c>
      <c r="D48" s="19" t="s">
        <v>473</v>
      </c>
      <c r="E48" s="17" t="str">
        <f ca="1">IF(zzz_20261002_Jars[[#This Row],[Jar Type]]="", "", TEXT(_xlfn.XLOOKUP(zzz_20261002_Jars[[#This Row],[Jar Type]], Containers!A:A, Containers!C:C), "General"))</f>
        <v>250</v>
      </c>
      <c r="F48" s="19" t="s">
        <v>44</v>
      </c>
      <c r="G48" s="21" t="s">
        <v>514</v>
      </c>
      <c r="H48" s="20" t="s">
        <v>452</v>
      </c>
      <c r="I48" s="20" t="str" cm="1">
        <f t="array" aca="1" ref="I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8" s="20" t="str" cm="1">
        <f t="array" aca="1" ref="J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8" s="21" t="s">
        <v>518</v>
      </c>
      <c r="L48" s="17" t="s">
        <v>362</v>
      </c>
      <c r="M48" s="17" t="s">
        <v>362</v>
      </c>
      <c r="N48" s="17" t="s">
        <v>44</v>
      </c>
      <c r="O48" t="s">
        <v>8</v>
      </c>
      <c r="P48" s="17" t="s">
        <v>362</v>
      </c>
      <c r="Q48" s="17" t="s">
        <v>362</v>
      </c>
      <c r="R4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8" s="19" t="s">
        <v>44</v>
      </c>
      <c r="T48" s="19" t="s">
        <v>44</v>
      </c>
      <c r="U48" s="19" t="s">
        <v>366</v>
      </c>
      <c r="V48" s="19" cm="1">
        <f t="array" aca="1" ref="V4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190</v>
      </c>
      <c r="W48" s="19" cm="1">
        <f t="array" aca="1" ref="W4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8" s="20" t="s">
        <v>509</v>
      </c>
      <c r="AA48" s="17" t="s">
        <v>370</v>
      </c>
    </row>
    <row r="49" spans="1:27">
      <c r="A49" s="10" t="s">
        <v>519</v>
      </c>
      <c r="B49" s="19" t="s">
        <v>40</v>
      </c>
      <c r="D49" s="17" t="s">
        <v>450</v>
      </c>
      <c r="E49" s="17" t="str">
        <f ca="1">IF(zzz_20261002_Jars[[#This Row],[Jar Type]]="", "", TEXT(_xlfn.XLOOKUP(zzz_20261002_Jars[[#This Row],[Jar Type]], Containers!A:A, Containers!C:C), "General"))</f>
        <v>1892.7</v>
      </c>
      <c r="F49" s="19" t="s">
        <v>6</v>
      </c>
      <c r="G49" s="19" t="s">
        <v>520</v>
      </c>
      <c r="H49" s="23" t="s">
        <v>452</v>
      </c>
      <c r="I49" s="20" t="str" cm="1">
        <f t="array" aca="1" ref="I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9" s="20" t="str" cm="1">
        <f t="array" aca="1" ref="J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9" s="19" t="s">
        <v>375</v>
      </c>
      <c r="L49" s="17" t="s">
        <v>362</v>
      </c>
      <c r="M49" s="17" t="s">
        <v>362</v>
      </c>
      <c r="O49" t="s">
        <v>8</v>
      </c>
      <c r="R4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9" s="19" t="s">
        <v>44</v>
      </c>
      <c r="T49" s="17" t="s">
        <v>44</v>
      </c>
      <c r="U49" s="17" t="s">
        <v>366</v>
      </c>
      <c r="V49" s="17" cm="1">
        <f t="array" aca="1" ref="V4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49" s="17" t="str" cm="1">
        <f t="array" aca="1" ref="W4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49" s="17" t="s">
        <v>369</v>
      </c>
      <c r="AA49" s="17" t="s">
        <v>370</v>
      </c>
    </row>
    <row r="50" spans="1:27">
      <c r="A50" s="10" t="s">
        <v>521</v>
      </c>
      <c r="B50" s="19" t="s">
        <v>40</v>
      </c>
      <c r="D50" s="3" t="s">
        <v>450</v>
      </c>
      <c r="E50" s="17" t="str">
        <f ca="1">IF(zzz_20261002_Jars[[#This Row],[Jar Type]]="", "", TEXT(_xlfn.XLOOKUP(zzz_20261002_Jars[[#This Row],[Jar Type]], Containers!A:A, Containers!C:C), "General"))</f>
        <v>1892.7</v>
      </c>
      <c r="F50" s="19" t="s">
        <v>6</v>
      </c>
      <c r="G50" s="19" t="s">
        <v>520</v>
      </c>
      <c r="H50" s="23" t="s">
        <v>452</v>
      </c>
      <c r="I50" s="20" t="str" cm="1">
        <f t="array" aca="1" ref="I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50" s="20" t="str" cm="1">
        <f t="array" aca="1" ref="J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50" s="19" t="s">
        <v>375</v>
      </c>
      <c r="L50" s="17" t="s">
        <v>362</v>
      </c>
      <c r="M50" s="17" t="s">
        <v>362</v>
      </c>
      <c r="O50" t="s">
        <v>8</v>
      </c>
      <c r="R5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50" s="8" t="s">
        <v>44</v>
      </c>
      <c r="T50" s="17" t="s">
        <v>44</v>
      </c>
      <c r="U50" s="17" t="s">
        <v>366</v>
      </c>
      <c r="V50" s="17" cm="1">
        <f t="array" aca="1" ref="V5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50" s="17" t="str" cm="1">
        <f t="array" aca="1" ref="W5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50" s="17" t="s">
        <v>369</v>
      </c>
      <c r="AA50" s="17" t="s">
        <v>370</v>
      </c>
    </row>
    <row r="51" spans="1:27">
      <c r="A51" s="10" t="s">
        <v>522</v>
      </c>
      <c r="B51" s="17" t="s">
        <v>42</v>
      </c>
      <c r="C51" s="8" t="s">
        <v>317</v>
      </c>
      <c r="D51" s="17" t="s">
        <v>473</v>
      </c>
      <c r="E51" s="17" t="str">
        <f ca="1">IF(zzz_20261002_Jars[[#This Row],[Jar Type]]="", "", TEXT(_xlfn.XLOOKUP(zzz_20261002_Jars[[#This Row],[Jar Type]], Containers!A:A, Containers!C:C), "General"))</f>
        <v>371</v>
      </c>
      <c r="F51" s="19" t="s">
        <v>6</v>
      </c>
      <c r="G51" s="19" t="s">
        <v>520</v>
      </c>
      <c r="H51" s="23" t="s">
        <v>452</v>
      </c>
      <c r="I51" s="20" t="str" cm="1">
        <f t="array" aca="1" ref="I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1" s="20" t="str" cm="1">
        <f t="array" aca="1" ref="J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51" s="19" t="s">
        <v>474</v>
      </c>
      <c r="L51" s="17" t="s">
        <v>362</v>
      </c>
      <c r="M51" s="17" t="s">
        <v>362</v>
      </c>
      <c r="N51" s="19" t="s">
        <v>523</v>
      </c>
      <c r="O51" t="s">
        <v>8</v>
      </c>
      <c r="P51" s="19" t="s">
        <v>184</v>
      </c>
      <c r="Q51" s="19" t="s">
        <v>524</v>
      </c>
      <c r="R5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1" s="8" t="s">
        <v>44</v>
      </c>
      <c r="T51" s="17" t="s">
        <v>44</v>
      </c>
      <c r="U51" s="17" t="s">
        <v>366</v>
      </c>
      <c r="V51" s="17" cm="1">
        <f t="array" aca="1" ref="V5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51" s="17" cm="1">
        <f t="array" aca="1" ref="W5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0.28000000000000003</v>
      </c>
      <c r="Z51" s="20" t="s">
        <v>509</v>
      </c>
      <c r="AA51" s="17" t="s">
        <v>370</v>
      </c>
    </row>
    <row r="52" spans="1:27">
      <c r="A52" s="10" t="s">
        <v>525</v>
      </c>
      <c r="B52" s="17" t="s">
        <v>54</v>
      </c>
      <c r="C52" s="8" t="s">
        <v>317</v>
      </c>
      <c r="D52" s="3" t="s">
        <v>473</v>
      </c>
      <c r="E52" s="17" t="str">
        <f ca="1">IF(zzz_20261002_Jars[[#This Row],[Jar Type]]="", "", TEXT(_xlfn.XLOOKUP(zzz_20261002_Jars[[#This Row],[Jar Type]], Containers!A:A, Containers!C:C), "General"))</f>
        <v>361</v>
      </c>
      <c r="F52" s="19" t="s">
        <v>6</v>
      </c>
      <c r="G52" s="19" t="s">
        <v>520</v>
      </c>
      <c r="H52" s="23" t="s">
        <v>452</v>
      </c>
      <c r="I52" s="20" t="str" cm="1">
        <f t="array" aca="1" ref="I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2" s="20" t="str" cm="1">
        <f t="array" aca="1" ref="J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52" s="19" t="s">
        <v>526</v>
      </c>
      <c r="L52" s="17" t="s">
        <v>362</v>
      </c>
      <c r="M52" s="17" t="s">
        <v>362</v>
      </c>
      <c r="N52" s="19" t="s">
        <v>527</v>
      </c>
      <c r="O52" t="s">
        <v>8</v>
      </c>
      <c r="P52" s="19" t="s">
        <v>185</v>
      </c>
      <c r="Q52" s="19" t="s">
        <v>528</v>
      </c>
      <c r="R5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2" s="8" t="s">
        <v>44</v>
      </c>
      <c r="T52" s="17" t="s">
        <v>44</v>
      </c>
      <c r="U52" s="17" t="s">
        <v>366</v>
      </c>
      <c r="V52" s="17" cm="1">
        <f t="array" aca="1" ref="V5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295</v>
      </c>
      <c r="W52" s="17" cm="1">
        <f t="array" aca="1" ref="W5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0.3</v>
      </c>
      <c r="Z52" s="20" t="s">
        <v>509</v>
      </c>
      <c r="AA52" s="17" t="s">
        <v>370</v>
      </c>
    </row>
    <row r="53" spans="1:27">
      <c r="A53" s="10" t="s">
        <v>529</v>
      </c>
      <c r="B53" s="17" t="s">
        <v>48</v>
      </c>
      <c r="C53" s="8" t="s">
        <v>317</v>
      </c>
      <c r="D53" s="3" t="s">
        <v>473</v>
      </c>
      <c r="E53" s="17" t="str">
        <f ca="1">IF(zzz_20261002_Jars[[#This Row],[Jar Type]]="", "", TEXT(_xlfn.XLOOKUP(zzz_20261002_Jars[[#This Row],[Jar Type]], Containers!A:A, Containers!C:C), "General"))</f>
        <v>354</v>
      </c>
      <c r="F53" s="19" t="s">
        <v>6</v>
      </c>
      <c r="G53" s="19" t="s">
        <v>520</v>
      </c>
      <c r="H53" s="23" t="s">
        <v>452</v>
      </c>
      <c r="I53" s="20" t="str" cm="1">
        <f t="array" aca="1" ref="I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3" s="20" t="str" cm="1">
        <f t="array" aca="1" ref="J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53" s="19" t="s">
        <v>60</v>
      </c>
      <c r="L53" s="17" t="s">
        <v>362</v>
      </c>
      <c r="M53" s="17" t="s">
        <v>362</v>
      </c>
      <c r="N53" s="19" t="s">
        <v>530</v>
      </c>
      <c r="O53" t="s">
        <v>8</v>
      </c>
      <c r="P53" s="19" t="s">
        <v>531</v>
      </c>
      <c r="Q53" s="19" t="s">
        <v>532</v>
      </c>
      <c r="R5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3" s="8" t="s">
        <v>44</v>
      </c>
      <c r="T53" s="17" t="s">
        <v>44</v>
      </c>
      <c r="U53" s="17" t="s">
        <v>366</v>
      </c>
      <c r="V53" s="17" cm="1">
        <f t="array" aca="1" ref="V5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53" s="17" cm="1">
        <f t="array" aca="1" ref="W5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0.24</v>
      </c>
      <c r="Z53" s="20" t="s">
        <v>509</v>
      </c>
      <c r="AA53" s="17" t="s">
        <v>370</v>
      </c>
    </row>
    <row r="54" spans="1:27">
      <c r="E54" s="17" t="str">
        <f ca="1">IF(zzz_20261002_Jars[[#This Row],[Jar Type]]="", "", TEXT(_xlfn.XLOOKUP(zzz_20261002_Jars[[#This Row],[Jar Type]], Containers!A:A, Containers!C:C), "General"))</f>
        <v/>
      </c>
      <c r="H54" s="23"/>
      <c r="I54" s="20" t="str" cm="1">
        <f t="array" aca="1" ref="I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4" s="20" t="str" cm="1">
        <f t="array" aca="1" ref="J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4" s="17" t="str" cm="1">
        <f t="array" aca="1" ref="V5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4" s="17" t="str" cm="1">
        <f t="array" aca="1" ref="W5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5" spans="1:27">
      <c r="E55" s="17" t="str">
        <f ca="1">IF(zzz_20261002_Jars[[#This Row],[Jar Type]]="", "", TEXT(_xlfn.XLOOKUP(zzz_20261002_Jars[[#This Row],[Jar Type]], Containers!A:A, Containers!C:C), "General"))</f>
        <v/>
      </c>
      <c r="H55" s="23"/>
      <c r="I55" s="20" t="str" cm="1">
        <f t="array" aca="1" ref="I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5" s="20" t="str" cm="1">
        <f t="array" aca="1" ref="J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5" s="17" t="str" cm="1">
        <f t="array" aca="1" ref="V5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5" s="17" t="str" cm="1">
        <f t="array" aca="1" ref="W5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6" spans="1:27">
      <c r="E56" s="17" t="str">
        <f ca="1">IF(zzz_20261002_Jars[[#This Row],[Jar Type]]="", "", TEXT(_xlfn.XLOOKUP(zzz_20261002_Jars[[#This Row],[Jar Type]], Containers!A:A, Containers!C:C), "General"))</f>
        <v/>
      </c>
      <c r="H56" s="23"/>
      <c r="I56" s="20" t="str" cm="1">
        <f t="array" aca="1" ref="I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6" s="20" t="str" cm="1">
        <f t="array" aca="1" ref="J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6" s="17" t="str" cm="1">
        <f t="array" aca="1" ref="V5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6" s="17" t="str" cm="1">
        <f t="array" aca="1" ref="W5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7" spans="1:27">
      <c r="E57" s="17" t="str">
        <f ca="1">IF(zzz_20261002_Jars[[#This Row],[Jar Type]]="", "", TEXT(_xlfn.XLOOKUP(zzz_20261002_Jars[[#This Row],[Jar Type]], Containers!A:A, Containers!C:C), "General"))</f>
        <v/>
      </c>
      <c r="H57" s="23"/>
      <c r="I57" s="20" t="str" cm="1">
        <f t="array" aca="1" ref="I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7" s="20" t="str" cm="1">
        <f t="array" aca="1" ref="J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7" s="17" t="str" cm="1">
        <f t="array" aca="1" ref="V5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7" s="17" t="str" cm="1">
        <f t="array" aca="1" ref="W5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8" spans="1:27">
      <c r="E58" s="17" t="str">
        <f ca="1">IF(zzz_20261002_Jars[[#This Row],[Jar Type]]="", "", TEXT(_xlfn.XLOOKUP(zzz_20261002_Jars[[#This Row],[Jar Type]], Containers!A:A, Containers!C:C), "General"))</f>
        <v/>
      </c>
      <c r="H58" s="23"/>
      <c r="I58" s="20" t="str" cm="1">
        <f t="array" aca="1" ref="I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8" s="20" t="str" cm="1">
        <f t="array" aca="1" ref="J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8" s="17" t="str" cm="1">
        <f t="array" aca="1" ref="V5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8" s="17" t="str" cm="1">
        <f t="array" aca="1" ref="W5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9" spans="1:27">
      <c r="E59" s="17" t="str">
        <f ca="1">IF(zzz_20261002_Jars[[#This Row],[Jar Type]]="", "", TEXT(_xlfn.XLOOKUP(zzz_20261002_Jars[[#This Row],[Jar Type]], Containers!A:A, Containers!C:C), "General"))</f>
        <v/>
      </c>
      <c r="H59" s="23"/>
      <c r="I59" s="20" t="str" cm="1">
        <f t="array" aca="1" ref="I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9" s="20" t="str" cm="1">
        <f t="array" aca="1" ref="J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9" s="17" t="str" cm="1">
        <f t="array" aca="1" ref="V5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9" s="17" t="str" cm="1">
        <f t="array" aca="1" ref="W5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60" spans="1:27">
      <c r="E60" s="17" t="str">
        <f ca="1">IF(zzz_20261002_Jars[[#This Row],[Jar Type]]="", "", TEXT(_xlfn.XLOOKUP(zzz_20261002_Jars[[#This Row],[Jar Type]], Containers!A:A, Containers!C:C), "General"))</f>
        <v/>
      </c>
      <c r="H60" s="23"/>
      <c r="I60" s="20" t="str" cm="1">
        <f t="array" aca="1" ref="I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60" s="20" t="str" cm="1">
        <f t="array" aca="1" ref="J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6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60" s="17" t="str" cm="1">
        <f t="array" aca="1" ref="V6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60" s="17" t="str" cm="1">
        <f t="array" aca="1" ref="W6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</sheetData>
  <conditionalFormatting sqref="S11:Y27">
    <cfRule type="expression" dxfId="236" priority="2">
      <formula>AND($Q11="",$N11&lt;&gt;"")</formula>
    </cfRule>
  </conditionalFormatting>
  <conditionalFormatting sqref="S11:Y27">
    <cfRule type="expression" dxfId="235" priority="3">
      <formula>AND($N11="",$A11&lt;&gt;"")</formula>
    </cfRule>
  </conditionalFormatting>
  <conditionalFormatting sqref="A11:AG999999">
    <cfRule type="expression" dxfId="234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4E1B-7140-49AC-BCA5-F9E5B7451D5E}">
  <dimension ref="A1:AA60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324</v>
      </c>
      <c r="S1" s="17" t="s">
        <v>325</v>
      </c>
      <c r="U1" s="17" t="s">
        <v>326</v>
      </c>
      <c r="V1" s="3" t="s">
        <v>326</v>
      </c>
    </row>
    <row r="9" spans="1:27">
      <c r="E9" s="19" t="s">
        <v>327</v>
      </c>
      <c r="F9" s="17" t="s">
        <v>182</v>
      </c>
      <c r="I9" s="19" t="s">
        <v>328</v>
      </c>
      <c r="J9" s="19" t="s">
        <v>329</v>
      </c>
      <c r="K9" s="17" t="s">
        <v>182</v>
      </c>
      <c r="T9" s="19" t="s">
        <v>330</v>
      </c>
      <c r="U9" s="17" t="s">
        <v>182</v>
      </c>
      <c r="W9" s="17" t="s">
        <v>182</v>
      </c>
    </row>
    <row r="10" spans="1:27">
      <c r="A10" t="s">
        <v>33</v>
      </c>
      <c r="B10" s="17" t="s">
        <v>331</v>
      </c>
      <c r="C10" s="17" t="s">
        <v>332</v>
      </c>
      <c r="D10" s="17" t="s">
        <v>333</v>
      </c>
      <c r="E10" s="17" t="s">
        <v>334</v>
      </c>
      <c r="F10" s="17" t="s">
        <v>335</v>
      </c>
      <c r="G10" s="17" t="s">
        <v>336</v>
      </c>
      <c r="H10" s="17" t="s">
        <v>337</v>
      </c>
      <c r="I10" s="17" t="s">
        <v>338</v>
      </c>
      <c r="J10" s="17" t="s">
        <v>339</v>
      </c>
      <c r="K10" s="17" t="s">
        <v>188</v>
      </c>
      <c r="L10" s="17" t="s">
        <v>340</v>
      </c>
      <c r="M10" s="17" t="s">
        <v>341</v>
      </c>
      <c r="N10" s="17" t="s">
        <v>61</v>
      </c>
      <c r="O10" s="17" t="s">
        <v>342</v>
      </c>
      <c r="P10" s="17" t="s">
        <v>533</v>
      </c>
      <c r="Q10" s="17" t="s">
        <v>343</v>
      </c>
      <c r="R10" s="17" t="s">
        <v>344</v>
      </c>
      <c r="S10" s="17" t="s">
        <v>345</v>
      </c>
      <c r="T10" s="17" t="s">
        <v>346</v>
      </c>
      <c r="U10" s="17" t="s">
        <v>352</v>
      </c>
      <c r="V10" s="17" t="s">
        <v>534</v>
      </c>
      <c r="W10" s="17" t="s">
        <v>535</v>
      </c>
      <c r="X10" s="17" t="s">
        <v>536</v>
      </c>
      <c r="Y10" s="17" t="s">
        <v>354</v>
      </c>
      <c r="Z10" s="17" t="s">
        <v>355</v>
      </c>
      <c r="AA10" s="17" t="s">
        <v>356</v>
      </c>
    </row>
    <row r="11" spans="1:27">
      <c r="A11" t="s">
        <v>6</v>
      </c>
      <c r="B11" s="19" t="s">
        <v>40</v>
      </c>
      <c r="C11" s="17" t="s">
        <v>357</v>
      </c>
      <c r="D11" s="20" t="s">
        <v>358</v>
      </c>
      <c r="E11" s="21" t="str">
        <f ca="1">IF(xxx_Jars25[[#This Row],[Jar Type]]="", "", TEXT(_xlfn.XLOOKUP(xxx_Jars25[[#This Row],[Jar Type]], Containers!A:A, Containers!C:C), "General"))</f>
        <v>1892.7</v>
      </c>
      <c r="F11" s="19" t="s">
        <v>44</v>
      </c>
      <c r="G11" s="19" t="s">
        <v>359</v>
      </c>
      <c r="H11" s="19" t="s">
        <v>360</v>
      </c>
      <c r="I11" s="19" t="str" cm="1">
        <f t="array" aca="1" ref="I1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1" s="19" t="str" cm="1">
        <f t="array" aca="1" ref="J1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1" s="17" t="s">
        <v>361</v>
      </c>
      <c r="L11" s="17" t="s">
        <v>362</v>
      </c>
      <c r="M11" s="17" t="s">
        <v>362</v>
      </c>
      <c r="N11" s="19" t="s">
        <v>82</v>
      </c>
      <c r="O11" s="17" t="s">
        <v>363</v>
      </c>
      <c r="P11" s="17">
        <f ca="1">IFERROR(VALUE(xxx_Jars25[[#This Row],[Fertilizer Added (g)]]), 0)</f>
        <v>1.48</v>
      </c>
      <c r="Q11" t="s">
        <v>8</v>
      </c>
      <c r="R11" s="17" t="s">
        <v>364</v>
      </c>
      <c r="S11" s="17" t="s">
        <v>365</v>
      </c>
      <c r="T1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1" s="1" t="s">
        <v>367</v>
      </c>
      <c r="V11" s="1" t="s">
        <v>368</v>
      </c>
      <c r="W11" s="17" t="s">
        <v>362</v>
      </c>
      <c r="X11" s="17">
        <f ca="1">IFERROR(SUM(_xlfn.SINGLE(xxx_Jars25[Fertilizer Added]), _xlfn.XLOOKUP(_xlfn.SINGLE(xxx_Jars25[Jar]), JarsPlusPlus_2[Jar], JarsPlusPlus_2[C:Total Fertilizer Added (g)])), _xlfn.SINGLE(xxx_Jars25[Fertilizer Added]))</f>
        <v>1.48</v>
      </c>
      <c r="Y11" s="17" t="s">
        <v>369</v>
      </c>
      <c r="Z11" s="17" t="s">
        <v>370</v>
      </c>
    </row>
    <row r="12" spans="1:27">
      <c r="A12" t="s">
        <v>10</v>
      </c>
      <c r="B12" s="19" t="s">
        <v>40</v>
      </c>
      <c r="C12" s="17" t="s">
        <v>371</v>
      </c>
      <c r="D12" s="20" t="s">
        <v>358</v>
      </c>
      <c r="E12" s="21" t="str">
        <f ca="1">IF(xxx_Jars25[[#This Row],[Jar Type]]="", "", TEXT(_xlfn.XLOOKUP(xxx_Jars25[[#This Row],[Jar Type]], Containers!A:A, Containers!C:C), "General"))</f>
        <v>1892.7</v>
      </c>
      <c r="F12" s="19" t="s">
        <v>44</v>
      </c>
      <c r="G12" s="19" t="s">
        <v>359</v>
      </c>
      <c r="H12" s="20" t="s">
        <v>360</v>
      </c>
      <c r="I12" s="20" t="str" cm="1">
        <f t="array" aca="1" ref="I1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2" s="20" t="str" cm="1">
        <f t="array" aca="1" ref="J1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2" s="17" t="s">
        <v>361</v>
      </c>
      <c r="L12" s="17" t="s">
        <v>362</v>
      </c>
      <c r="M12" s="17" t="s">
        <v>362</v>
      </c>
      <c r="N12" s="19" t="s">
        <v>82</v>
      </c>
      <c r="O12" s="17" t="s">
        <v>363</v>
      </c>
      <c r="P12" s="17">
        <f ca="1">IFERROR(VALUE(xxx_Jars25[[#This Row],[Fertilizer Added (g)]]), 0)</f>
        <v>1.48</v>
      </c>
      <c r="Q12" t="s">
        <v>8</v>
      </c>
      <c r="R12" s="17" t="s">
        <v>364</v>
      </c>
      <c r="S12" s="17" t="s">
        <v>372</v>
      </c>
      <c r="T1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2" s="1" t="s">
        <v>367</v>
      </c>
      <c r="V12" s="1" t="s">
        <v>373</v>
      </c>
      <c r="W12" s="17" t="s">
        <v>362</v>
      </c>
      <c r="X12" s="17">
        <f ca="1">IFERROR(SUM(_xlfn.SINGLE(xxx_Jars25[Fertilizer Added]), _xlfn.XLOOKUP(_xlfn.SINGLE(xxx_Jars25[Jar]), JarsPlusPlus_2[Jar], JarsPlusPlus_2[C:Total Fertilizer Added (g)])), _xlfn.SINGLE(xxx_Jars25[Fertilizer Added]))</f>
        <v>1.48</v>
      </c>
      <c r="Y12" s="17" t="s">
        <v>369</v>
      </c>
      <c r="Z12" s="20" t="s">
        <v>370</v>
      </c>
      <c r="AA12" s="20"/>
    </row>
    <row r="13" spans="1:27">
      <c r="A13" t="s">
        <v>14</v>
      </c>
      <c r="B13" s="19" t="s">
        <v>40</v>
      </c>
      <c r="C13" s="17" t="s">
        <v>374</v>
      </c>
      <c r="D13" s="20" t="s">
        <v>358</v>
      </c>
      <c r="E13" s="21" t="str">
        <f ca="1">IF(xxx_Jars25[[#This Row],[Jar Type]]="", "", TEXT(_xlfn.XLOOKUP(xxx_Jars25[[#This Row],[Jar Type]], Containers!A:A, Containers!C:C), "General"))</f>
        <v>1892.7</v>
      </c>
      <c r="F13" s="19" t="s">
        <v>44</v>
      </c>
      <c r="G13" s="19" t="s">
        <v>359</v>
      </c>
      <c r="H13" s="20" t="s">
        <v>360</v>
      </c>
      <c r="I13" s="20" t="str" cm="1">
        <f t="array" aca="1" ref="I1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3" s="20" t="str" cm="1">
        <f t="array" aca="1" ref="J1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3" s="17" t="s">
        <v>375</v>
      </c>
      <c r="L13" s="17" t="s">
        <v>362</v>
      </c>
      <c r="M13" s="17" t="s">
        <v>362</v>
      </c>
      <c r="N13" s="19" t="s">
        <v>82</v>
      </c>
      <c r="O13" s="17" t="s">
        <v>376</v>
      </c>
      <c r="P13" s="17">
        <f ca="1">IFERROR(VALUE(xxx_Jars25[[#This Row],[Fertilizer Added (g)]]), 0)</f>
        <v>1.1100000000000001</v>
      </c>
      <c r="Q13" t="s">
        <v>8</v>
      </c>
      <c r="R13" s="17" t="s">
        <v>377</v>
      </c>
      <c r="S13" s="17" t="s">
        <v>378</v>
      </c>
      <c r="T1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3" s="1" t="s">
        <v>379</v>
      </c>
      <c r="V13" s="1" t="s">
        <v>380</v>
      </c>
      <c r="W13" s="17" t="s">
        <v>362</v>
      </c>
      <c r="X13" s="17">
        <f ca="1">IFERROR(SUM(_xlfn.SINGLE(xxx_Jars25[Fertilizer Added]), _xlfn.XLOOKUP(_xlfn.SINGLE(xxx_Jars25[Jar]), JarsPlusPlus_2[Jar], JarsPlusPlus_2[C:Total Fertilizer Added (g)])), _xlfn.SINGLE(xxx_Jars25[Fertilizer Added]))</f>
        <v>1.1100000000000001</v>
      </c>
      <c r="Y13" s="17" t="s">
        <v>369</v>
      </c>
      <c r="Z13" s="17" t="s">
        <v>370</v>
      </c>
      <c r="AA13" s="20"/>
    </row>
    <row r="14" spans="1:27">
      <c r="A14" t="s">
        <v>381</v>
      </c>
      <c r="B14" s="19" t="s">
        <v>40</v>
      </c>
      <c r="C14" s="17" t="s">
        <v>382</v>
      </c>
      <c r="D14" s="20" t="s">
        <v>358</v>
      </c>
      <c r="E14" s="21" t="str">
        <f ca="1">IF(xxx_Jars25[[#This Row],[Jar Type]]="", "", TEXT(_xlfn.XLOOKUP(xxx_Jars25[[#This Row],[Jar Type]], Containers!A:A, Containers!C:C), "General"))</f>
        <v>1892.7</v>
      </c>
      <c r="F14" s="19" t="s">
        <v>44</v>
      </c>
      <c r="G14" s="19" t="s">
        <v>359</v>
      </c>
      <c r="H14" s="20" t="s">
        <v>360</v>
      </c>
      <c r="I14" s="20" t="str" cm="1">
        <f t="array" aca="1" ref="I1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4" s="20" t="str" cm="1">
        <f t="array" aca="1" ref="J1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4" s="17" t="s">
        <v>375</v>
      </c>
      <c r="L14" s="17" t="s">
        <v>362</v>
      </c>
      <c r="M14" s="17" t="s">
        <v>362</v>
      </c>
      <c r="N14" s="19" t="s">
        <v>82</v>
      </c>
      <c r="O14" s="17" t="s">
        <v>383</v>
      </c>
      <c r="P14" s="17">
        <f ca="1">IFERROR(VALUE(xxx_Jars25[[#This Row],[Fertilizer Added (g)]]), 0)</f>
        <v>1.44</v>
      </c>
      <c r="Q14" t="s">
        <v>8</v>
      </c>
      <c r="R14" s="17" t="s">
        <v>364</v>
      </c>
      <c r="S14" s="17" t="s">
        <v>384</v>
      </c>
      <c r="T1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4" s="1" t="s">
        <v>379</v>
      </c>
      <c r="V14" s="1" t="s">
        <v>43</v>
      </c>
      <c r="W14" s="17" t="s">
        <v>362</v>
      </c>
      <c r="X14" s="17">
        <f ca="1">IFERROR(SUM(_xlfn.SINGLE(xxx_Jars25[Fertilizer Added]), _xlfn.XLOOKUP(_xlfn.SINGLE(xxx_Jars25[Jar]), JarsPlusPlus_2[Jar], JarsPlusPlus_2[C:Total Fertilizer Added (g)])), _xlfn.SINGLE(xxx_Jars25[Fertilizer Added]))</f>
        <v>1.44</v>
      </c>
      <c r="Y14" s="17" t="s">
        <v>369</v>
      </c>
      <c r="Z14" s="17" t="s">
        <v>370</v>
      </c>
      <c r="AA14" s="20"/>
    </row>
    <row r="15" spans="1:27">
      <c r="A15" t="s">
        <v>319</v>
      </c>
      <c r="B15" s="19" t="s">
        <v>40</v>
      </c>
      <c r="C15" s="17" t="s">
        <v>385</v>
      </c>
      <c r="D15" s="20" t="s">
        <v>358</v>
      </c>
      <c r="E15" s="21" t="str">
        <f ca="1">IF(xxx_Jars25[[#This Row],[Jar Type]]="", "", TEXT(_xlfn.XLOOKUP(xxx_Jars25[[#This Row],[Jar Type]], Containers!A:A, Containers!C:C), "General"))</f>
        <v>1892.7</v>
      </c>
      <c r="F15" s="19" t="s">
        <v>44</v>
      </c>
      <c r="G15" s="19" t="s">
        <v>386</v>
      </c>
      <c r="H15" s="20" t="s">
        <v>360</v>
      </c>
      <c r="I15" s="20" t="str" cm="1">
        <f t="array" aca="1" ref="I1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5" s="20" t="str" cm="1">
        <f t="array" aca="1" ref="J1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5" s="17" t="s">
        <v>375</v>
      </c>
      <c r="L15" s="17" t="s">
        <v>362</v>
      </c>
      <c r="M15" s="17" t="s">
        <v>362</v>
      </c>
      <c r="N15" s="19" t="s">
        <v>82</v>
      </c>
      <c r="O15" s="17" t="s">
        <v>387</v>
      </c>
      <c r="P15" s="17">
        <f ca="1">IFERROR(VALUE(xxx_Jars25[[#This Row],[Fertilizer Added (g)]]), 0)</f>
        <v>1.39</v>
      </c>
      <c r="Q15" t="s">
        <v>8</v>
      </c>
      <c r="R15" s="17" t="s">
        <v>364</v>
      </c>
      <c r="S15" s="17" t="s">
        <v>388</v>
      </c>
      <c r="T1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5" s="1" t="s">
        <v>377</v>
      </c>
      <c r="V15" s="2" t="s">
        <v>389</v>
      </c>
      <c r="W15" s="17" t="s">
        <v>362</v>
      </c>
      <c r="X15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15" s="17" t="s">
        <v>369</v>
      </c>
      <c r="Z15" s="17" t="s">
        <v>370</v>
      </c>
    </row>
    <row r="16" spans="1:27">
      <c r="A16" t="s">
        <v>390</v>
      </c>
      <c r="B16" s="19" t="s">
        <v>40</v>
      </c>
      <c r="C16" s="17" t="s">
        <v>391</v>
      </c>
      <c r="D16" s="20" t="s">
        <v>358</v>
      </c>
      <c r="E16" s="21" t="str">
        <f ca="1">IF(xxx_Jars25[[#This Row],[Jar Type]]="", "", TEXT(_xlfn.XLOOKUP(xxx_Jars25[[#This Row],[Jar Type]], Containers!A:A, Containers!C:C), "General"))</f>
        <v>1892.7</v>
      </c>
      <c r="F16" s="19" t="s">
        <v>44</v>
      </c>
      <c r="G16" s="19" t="s">
        <v>392</v>
      </c>
      <c r="H16" s="20" t="s">
        <v>360</v>
      </c>
      <c r="I16" s="20" t="str" cm="1">
        <f t="array" aca="1" ref="I1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6" s="20" t="str" cm="1">
        <f t="array" aca="1" ref="J1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6" s="17" t="s">
        <v>361</v>
      </c>
      <c r="L16" s="17" t="s">
        <v>362</v>
      </c>
      <c r="M16" s="17" t="s">
        <v>362</v>
      </c>
      <c r="N16" s="19" t="s">
        <v>82</v>
      </c>
      <c r="O16" s="17" t="s">
        <v>393</v>
      </c>
      <c r="P16" s="17">
        <f ca="1">IFERROR(VALUE(xxx_Jars25[[#This Row],[Fertilizer Added (g)]]), 0)</f>
        <v>1.4</v>
      </c>
      <c r="Q16" t="s">
        <v>8</v>
      </c>
      <c r="R16" s="17" t="s">
        <v>377</v>
      </c>
      <c r="S16" s="17" t="s">
        <v>394</v>
      </c>
      <c r="T1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6" s="1" t="s">
        <v>367</v>
      </c>
      <c r="V16" s="2" t="s">
        <v>395</v>
      </c>
      <c r="W16" s="17" t="s">
        <v>362</v>
      </c>
      <c r="X16" s="17">
        <f ca="1">IFERROR(SUM(_xlfn.SINGLE(xxx_Jars25[Fertilizer Added]), _xlfn.XLOOKUP(_xlfn.SINGLE(xxx_Jars25[Jar]), JarsPlusPlus_2[Jar], JarsPlusPlus_2[C:Total Fertilizer Added (g)])), _xlfn.SINGLE(xxx_Jars25[Fertilizer Added]))</f>
        <v>1.4</v>
      </c>
      <c r="Y16" s="17" t="s">
        <v>369</v>
      </c>
      <c r="Z16" s="17" t="s">
        <v>370</v>
      </c>
      <c r="AA16" s="20"/>
    </row>
    <row r="17" spans="1:27">
      <c r="A17" t="s">
        <v>396</v>
      </c>
      <c r="B17" s="19" t="s">
        <v>40</v>
      </c>
      <c r="C17" s="17" t="s">
        <v>397</v>
      </c>
      <c r="D17" s="20" t="s">
        <v>358</v>
      </c>
      <c r="E17" s="21" t="str">
        <f ca="1">IF(xxx_Jars25[[#This Row],[Jar Type]]="", "", TEXT(_xlfn.XLOOKUP(xxx_Jars25[[#This Row],[Jar Type]], Containers!A:A, Containers!C:C), "General"))</f>
        <v>1892.7</v>
      </c>
      <c r="F17" s="19" t="s">
        <v>44</v>
      </c>
      <c r="G17" s="19" t="s">
        <v>392</v>
      </c>
      <c r="H17" s="20" t="s">
        <v>360</v>
      </c>
      <c r="I17" s="20" t="str" cm="1">
        <f t="array" aca="1" ref="I1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7" s="20" t="str" cm="1">
        <f t="array" aca="1" ref="J1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7" s="17" t="s">
        <v>361</v>
      </c>
      <c r="L17" s="17" t="s">
        <v>362</v>
      </c>
      <c r="M17" s="17" t="s">
        <v>362</v>
      </c>
      <c r="N17" s="19" t="s">
        <v>82</v>
      </c>
      <c r="O17" s="17" t="s">
        <v>398</v>
      </c>
      <c r="P17" s="17">
        <f ca="1">IFERROR(VALUE(xxx_Jars25[[#This Row],[Fertilizer Added (g)]]), 0)</f>
        <v>1.43</v>
      </c>
      <c r="Q17" t="s">
        <v>8</v>
      </c>
      <c r="R17" s="19" t="s">
        <v>364</v>
      </c>
      <c r="S17" s="17" t="s">
        <v>399</v>
      </c>
      <c r="T1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7" s="1" t="s">
        <v>367</v>
      </c>
      <c r="V17" s="2" t="s">
        <v>400</v>
      </c>
      <c r="W17" s="17" t="s">
        <v>362</v>
      </c>
      <c r="X17" s="17">
        <f ca="1">IFERROR(SUM(_xlfn.SINGLE(xxx_Jars25[Fertilizer Added]), _xlfn.XLOOKUP(_xlfn.SINGLE(xxx_Jars25[Jar]), JarsPlusPlus_2[Jar], JarsPlusPlus_2[C:Total Fertilizer Added (g)])), _xlfn.SINGLE(xxx_Jars25[Fertilizer Added]))</f>
        <v>1.43</v>
      </c>
      <c r="Y17" s="17" t="s">
        <v>369</v>
      </c>
      <c r="Z17" s="17" t="s">
        <v>370</v>
      </c>
      <c r="AA17" s="20"/>
    </row>
    <row r="18" spans="1:27">
      <c r="A18" t="s">
        <v>401</v>
      </c>
      <c r="B18" s="19" t="s">
        <v>40</v>
      </c>
      <c r="C18" s="17" t="s">
        <v>402</v>
      </c>
      <c r="D18" s="20" t="s">
        <v>358</v>
      </c>
      <c r="E18" s="21" t="str">
        <f ca="1">IF(xxx_Jars25[[#This Row],[Jar Type]]="", "", TEXT(_xlfn.XLOOKUP(xxx_Jars25[[#This Row],[Jar Type]], Containers!A:A, Containers!C:C), "General"))</f>
        <v>1892.7</v>
      </c>
      <c r="F18" s="19" t="s">
        <v>44</v>
      </c>
      <c r="G18" s="19" t="s">
        <v>392</v>
      </c>
      <c r="H18" s="20" t="s">
        <v>360</v>
      </c>
      <c r="I18" s="20" t="str" cm="1">
        <f t="array" aca="1" ref="I1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8" s="20" t="str" cm="1">
        <f t="array" aca="1" ref="J1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8" s="17" t="s">
        <v>361</v>
      </c>
      <c r="L18" s="17" t="s">
        <v>362</v>
      </c>
      <c r="M18" s="17" t="s">
        <v>362</v>
      </c>
      <c r="N18" s="19" t="s">
        <v>82</v>
      </c>
      <c r="O18" s="17" t="s">
        <v>403</v>
      </c>
      <c r="P18" s="17">
        <f ca="1">IFERROR(VALUE(xxx_Jars25[[#This Row],[Fertilizer Added (g)]]), 0)</f>
        <v>1.37</v>
      </c>
      <c r="Q18" t="s">
        <v>8</v>
      </c>
      <c r="R18" s="17" t="s">
        <v>364</v>
      </c>
      <c r="S18" s="17" t="s">
        <v>404</v>
      </c>
      <c r="T1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8" s="1" t="s">
        <v>367</v>
      </c>
      <c r="V18" s="2" t="s">
        <v>405</v>
      </c>
      <c r="W18" s="17" t="s">
        <v>362</v>
      </c>
      <c r="X18" s="17">
        <f ca="1">IFERROR(SUM(_xlfn.SINGLE(xxx_Jars25[Fertilizer Added]), _xlfn.XLOOKUP(_xlfn.SINGLE(xxx_Jars25[Jar]), JarsPlusPlus_2[Jar], JarsPlusPlus_2[C:Total Fertilizer Added (g)])), _xlfn.SINGLE(xxx_Jars25[Fertilizer Added]))</f>
        <v>1.37</v>
      </c>
      <c r="Y18" s="17" t="s">
        <v>369</v>
      </c>
      <c r="Z18" s="17" t="s">
        <v>370</v>
      </c>
      <c r="AA18" s="20"/>
    </row>
    <row r="19" spans="1:27">
      <c r="A19" t="s">
        <v>406</v>
      </c>
      <c r="B19" s="19" t="s">
        <v>40</v>
      </c>
      <c r="C19" s="17" t="s">
        <v>407</v>
      </c>
      <c r="D19" s="20" t="s">
        <v>358</v>
      </c>
      <c r="E19" s="21" t="str">
        <f ca="1">IF(xxx_Jars25[[#This Row],[Jar Type]]="", "", TEXT(_xlfn.XLOOKUP(xxx_Jars25[[#This Row],[Jar Type]], Containers!A:A, Containers!C:C), "General"))</f>
        <v>1892.7</v>
      </c>
      <c r="F19" s="19" t="s">
        <v>44</v>
      </c>
      <c r="G19" s="19" t="s">
        <v>392</v>
      </c>
      <c r="H19" s="20" t="s">
        <v>360</v>
      </c>
      <c r="I19" s="20" t="str" cm="1">
        <f t="array" aca="1" ref="I1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9" s="20" t="str" cm="1">
        <f t="array" aca="1" ref="J1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9" s="17" t="s">
        <v>361</v>
      </c>
      <c r="L19" s="17" t="s">
        <v>362</v>
      </c>
      <c r="M19" s="17" t="s">
        <v>362</v>
      </c>
      <c r="N19" s="19" t="s">
        <v>82</v>
      </c>
      <c r="O19" s="17" t="s">
        <v>408</v>
      </c>
      <c r="P19" s="17">
        <f ca="1">IFERROR(VALUE(xxx_Jars25[[#This Row],[Fertilizer Added (g)]]), 0)</f>
        <v>1.49</v>
      </c>
      <c r="Q19" t="s">
        <v>8</v>
      </c>
      <c r="R19" s="17" t="s">
        <v>367</v>
      </c>
      <c r="S19" s="17" t="s">
        <v>409</v>
      </c>
      <c r="T1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9" s="1" t="s">
        <v>410</v>
      </c>
      <c r="V19" s="2" t="s">
        <v>411</v>
      </c>
      <c r="W19" s="19" t="s">
        <v>6</v>
      </c>
      <c r="X19" s="19">
        <f ca="1">IFERROR(SUM(_xlfn.SINGLE(xxx_Jars25[Fertilizer Added]), _xlfn.XLOOKUP(_xlfn.SINGLE(xxx_Jars25[Jar]), JarsPlusPlus_2[Jar], JarsPlusPlus_2[C:Total Fertilizer Added (g)])), _xlfn.SINGLE(xxx_Jars25[Fertilizer Added]))</f>
        <v>1.49</v>
      </c>
      <c r="Y19" s="17" t="s">
        <v>369</v>
      </c>
      <c r="Z19" s="17" t="s">
        <v>370</v>
      </c>
      <c r="AA19" s="17" t="s">
        <v>412</v>
      </c>
    </row>
    <row r="20" spans="1:27">
      <c r="A20" t="s">
        <v>320</v>
      </c>
      <c r="B20" s="19" t="s">
        <v>40</v>
      </c>
      <c r="C20" s="17" t="s">
        <v>413</v>
      </c>
      <c r="D20" s="20" t="s">
        <v>358</v>
      </c>
      <c r="E20" s="21" t="str">
        <f ca="1">IF(xxx_Jars25[[#This Row],[Jar Type]]="", "", TEXT(_xlfn.XLOOKUP(xxx_Jars25[[#This Row],[Jar Type]], Containers!A:A, Containers!C:C), "General"))</f>
        <v>1892.7</v>
      </c>
      <c r="F20" s="19" t="s">
        <v>44</v>
      </c>
      <c r="G20" s="19" t="s">
        <v>414</v>
      </c>
      <c r="H20" s="20" t="s">
        <v>360</v>
      </c>
      <c r="I20" s="20" t="str" cm="1">
        <f t="array" aca="1" ref="I2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0" s="20" t="str" cm="1">
        <f t="array" aca="1" ref="J2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0" s="17" t="s">
        <v>375</v>
      </c>
      <c r="L20" s="17" t="s">
        <v>362</v>
      </c>
      <c r="M20" s="17" t="s">
        <v>362</v>
      </c>
      <c r="N20" s="19" t="s">
        <v>82</v>
      </c>
      <c r="O20" s="17" t="s">
        <v>387</v>
      </c>
      <c r="P20" s="17">
        <f ca="1">IFERROR(VALUE(xxx_Jars25[[#This Row],[Fertilizer Added (g)]]), 0)</f>
        <v>1.39</v>
      </c>
      <c r="Q20" t="s">
        <v>8</v>
      </c>
      <c r="R20" s="17" t="s">
        <v>379</v>
      </c>
      <c r="S20" s="17" t="s">
        <v>415</v>
      </c>
      <c r="T2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0" s="1" t="s">
        <v>362</v>
      </c>
      <c r="V20" s="3" t="s">
        <v>362</v>
      </c>
      <c r="W20" s="17" t="s">
        <v>362</v>
      </c>
      <c r="X20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20" s="17" t="s">
        <v>369</v>
      </c>
      <c r="Z20" s="17" t="s">
        <v>370</v>
      </c>
    </row>
    <row r="21" spans="1:27">
      <c r="A21" t="s">
        <v>416</v>
      </c>
      <c r="B21" s="19" t="s">
        <v>40</v>
      </c>
      <c r="C21" s="17" t="s">
        <v>417</v>
      </c>
      <c r="D21" s="20" t="s">
        <v>358</v>
      </c>
      <c r="E21" s="21" t="str">
        <f ca="1">IF(xxx_Jars25[[#This Row],[Jar Type]]="", "", TEXT(_xlfn.XLOOKUP(xxx_Jars25[[#This Row],[Jar Type]], Containers!A:A, Containers!C:C), "General"))</f>
        <v>1892.7</v>
      </c>
      <c r="F21" s="19" t="s">
        <v>44</v>
      </c>
      <c r="G21" s="19" t="s">
        <v>414</v>
      </c>
      <c r="H21" s="20" t="s">
        <v>360</v>
      </c>
      <c r="I21" s="20" t="str" cm="1">
        <f t="array" aca="1" ref="I2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1" s="20" t="str" cm="1">
        <f t="array" aca="1" ref="J2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1" s="17" t="s">
        <v>375</v>
      </c>
      <c r="L21" s="17" t="s">
        <v>362</v>
      </c>
      <c r="M21" s="17" t="s">
        <v>362</v>
      </c>
      <c r="N21" s="19" t="s">
        <v>82</v>
      </c>
      <c r="O21" s="17" t="s">
        <v>387</v>
      </c>
      <c r="P21" s="17">
        <f ca="1">IFERROR(VALUE(xxx_Jars25[[#This Row],[Fertilizer Added (g)]]), 0)</f>
        <v>1.39</v>
      </c>
      <c r="Q21" t="s">
        <v>8</v>
      </c>
      <c r="R21" s="17" t="s">
        <v>367</v>
      </c>
      <c r="S21" s="17" t="s">
        <v>418</v>
      </c>
      <c r="T2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1" s="1" t="s">
        <v>367</v>
      </c>
      <c r="V21" s="2" t="s">
        <v>419</v>
      </c>
      <c r="W21" s="17" t="s">
        <v>362</v>
      </c>
      <c r="X21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21" s="17" t="s">
        <v>369</v>
      </c>
      <c r="Z21" s="17" t="s">
        <v>370</v>
      </c>
      <c r="AA21" s="20"/>
    </row>
    <row r="22" spans="1:27">
      <c r="A22" t="s">
        <v>420</v>
      </c>
      <c r="B22" s="19" t="s">
        <v>40</v>
      </c>
      <c r="C22" s="17" t="s">
        <v>421</v>
      </c>
      <c r="D22" s="20" t="s">
        <v>358</v>
      </c>
      <c r="E22" s="21" t="str">
        <f ca="1">IF(xxx_Jars25[[#This Row],[Jar Type]]="", "", TEXT(_xlfn.XLOOKUP(xxx_Jars25[[#This Row],[Jar Type]], Containers!A:A, Containers!C:C), "General"))</f>
        <v>1892.7</v>
      </c>
      <c r="F22" s="19" t="s">
        <v>44</v>
      </c>
      <c r="G22" s="19" t="s">
        <v>414</v>
      </c>
      <c r="H22" s="20" t="s">
        <v>360</v>
      </c>
      <c r="I22" s="20" t="str" cm="1">
        <f t="array" aca="1" ref="I2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2" s="20" t="str" cm="1">
        <f t="array" aca="1" ref="J2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2" s="17" t="s">
        <v>375</v>
      </c>
      <c r="L22" s="17" t="s">
        <v>362</v>
      </c>
      <c r="M22" s="17" t="s">
        <v>362</v>
      </c>
      <c r="N22" s="19" t="s">
        <v>82</v>
      </c>
      <c r="O22" s="17" t="s">
        <v>422</v>
      </c>
      <c r="P22" s="17">
        <f ca="1">IFERROR(VALUE(xxx_Jars25[[#This Row],[Fertilizer Added (g)]]), 0)</f>
        <v>1.41</v>
      </c>
      <c r="Q22" t="s">
        <v>8</v>
      </c>
      <c r="R22" s="17" t="s">
        <v>379</v>
      </c>
      <c r="S22" s="17" t="s">
        <v>423</v>
      </c>
      <c r="T2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2" s="3" t="s">
        <v>362</v>
      </c>
      <c r="V22" s="3" t="s">
        <v>362</v>
      </c>
      <c r="W22" s="17" t="s">
        <v>362</v>
      </c>
      <c r="X22" s="17">
        <f ca="1">IFERROR(SUM(_xlfn.SINGLE(xxx_Jars25[Fertilizer Added]), _xlfn.XLOOKUP(_xlfn.SINGLE(xxx_Jars25[Jar]), JarsPlusPlus_2[Jar], JarsPlusPlus_2[C:Total Fertilizer Added (g)])), _xlfn.SINGLE(xxx_Jars25[Fertilizer Added]))</f>
        <v>1.41</v>
      </c>
      <c r="Y22" s="17" t="s">
        <v>369</v>
      </c>
      <c r="Z22" s="17" t="s">
        <v>370</v>
      </c>
    </row>
    <row r="23" spans="1:27">
      <c r="A23" t="s">
        <v>424</v>
      </c>
      <c r="B23" s="19" t="s">
        <v>40</v>
      </c>
      <c r="C23" s="17" t="s">
        <v>425</v>
      </c>
      <c r="D23" s="20" t="s">
        <v>358</v>
      </c>
      <c r="E23" s="21" t="str">
        <f ca="1">IF(xxx_Jars25[[#This Row],[Jar Type]]="", "", TEXT(_xlfn.XLOOKUP(xxx_Jars25[[#This Row],[Jar Type]], Containers!A:A, Containers!C:C), "General"))</f>
        <v>1892.7</v>
      </c>
      <c r="F23" s="19" t="s">
        <v>44</v>
      </c>
      <c r="G23" s="19" t="s">
        <v>414</v>
      </c>
      <c r="H23" s="20" t="s">
        <v>360</v>
      </c>
      <c r="I23" s="20" t="str" cm="1">
        <f t="array" aca="1" ref="I2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3" s="20" t="str" cm="1">
        <f t="array" aca="1" ref="J2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3" s="17" t="s">
        <v>375</v>
      </c>
      <c r="L23" s="17" t="s">
        <v>362</v>
      </c>
      <c r="M23" s="17" t="s">
        <v>362</v>
      </c>
      <c r="N23" s="19" t="s">
        <v>82</v>
      </c>
      <c r="O23" s="17" t="s">
        <v>426</v>
      </c>
      <c r="P23" s="17">
        <f ca="1">IFERROR(VALUE(xxx_Jars25[[#This Row],[Fertilizer Added (g)]]), 0)</f>
        <v>1.8</v>
      </c>
      <c r="Q23" t="s">
        <v>8</v>
      </c>
      <c r="R23" s="17" t="s">
        <v>379</v>
      </c>
      <c r="S23" s="17" t="s">
        <v>427</v>
      </c>
      <c r="T2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3" s="1" t="s">
        <v>367</v>
      </c>
      <c r="V23" s="2" t="s">
        <v>428</v>
      </c>
      <c r="W23" s="17" t="s">
        <v>362</v>
      </c>
      <c r="X23" s="17">
        <f ca="1">IFERROR(SUM(_xlfn.SINGLE(xxx_Jars25[Fertilizer Added]), _xlfn.XLOOKUP(_xlfn.SINGLE(xxx_Jars25[Jar]), JarsPlusPlus_2[Jar], JarsPlusPlus_2[C:Total Fertilizer Added (g)])), _xlfn.SINGLE(xxx_Jars25[Fertilizer Added]))</f>
        <v>1.8</v>
      </c>
      <c r="Y23" s="17" t="s">
        <v>369</v>
      </c>
      <c r="Z23" s="17" t="s">
        <v>370</v>
      </c>
      <c r="AA23" s="20"/>
    </row>
    <row r="24" spans="1:27">
      <c r="A24" t="s">
        <v>429</v>
      </c>
      <c r="B24" s="19" t="s">
        <v>40</v>
      </c>
      <c r="C24" s="17" t="s">
        <v>430</v>
      </c>
      <c r="D24" s="20" t="s">
        <v>358</v>
      </c>
      <c r="E24" s="21" t="str">
        <f ca="1">IF(xxx_Jars25[[#This Row],[Jar Type]]="", "", TEXT(_xlfn.XLOOKUP(xxx_Jars25[[#This Row],[Jar Type]], Containers!A:A, Containers!C:C), "General"))</f>
        <v>1892.7</v>
      </c>
      <c r="F24" s="19" t="s">
        <v>44</v>
      </c>
      <c r="G24" s="19" t="s">
        <v>431</v>
      </c>
      <c r="H24" s="20" t="s">
        <v>360</v>
      </c>
      <c r="I24" s="20" t="str" cm="1">
        <f t="array" aca="1" ref="I2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4" s="20" t="str" cm="1">
        <f t="array" aca="1" ref="J2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4" s="17" t="s">
        <v>375</v>
      </c>
      <c r="L24" s="17" t="s">
        <v>362</v>
      </c>
      <c r="M24" s="17" t="s">
        <v>362</v>
      </c>
      <c r="N24" s="19" t="s">
        <v>82</v>
      </c>
      <c r="O24" s="17" t="s">
        <v>393</v>
      </c>
      <c r="P24" s="17">
        <f ca="1">IFERROR(VALUE(xxx_Jars25[[#This Row],[Fertilizer Added (g)]]), 0)</f>
        <v>1.4</v>
      </c>
      <c r="Q24" t="s">
        <v>8</v>
      </c>
      <c r="R24" s="17" t="s">
        <v>379</v>
      </c>
      <c r="S24" s="17" t="s">
        <v>432</v>
      </c>
      <c r="T2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4" s="1" t="s">
        <v>410</v>
      </c>
      <c r="V24" s="2" t="s">
        <v>433</v>
      </c>
      <c r="W24" s="17" t="s">
        <v>362</v>
      </c>
      <c r="X24" s="17">
        <f ca="1">IFERROR(SUM(_xlfn.SINGLE(xxx_Jars25[Fertilizer Added]), _xlfn.XLOOKUP(_xlfn.SINGLE(xxx_Jars25[Jar]), JarsPlusPlus_2[Jar], JarsPlusPlus_2[C:Total Fertilizer Added (g)])), _xlfn.SINGLE(xxx_Jars25[Fertilizer Added]))</f>
        <v>1.4</v>
      </c>
      <c r="Y24" s="17" t="s">
        <v>369</v>
      </c>
      <c r="Z24" s="17" t="s">
        <v>370</v>
      </c>
      <c r="AA24" s="20"/>
    </row>
    <row r="25" spans="1:27">
      <c r="A25" t="s">
        <v>434</v>
      </c>
      <c r="B25" s="19" t="s">
        <v>40</v>
      </c>
      <c r="C25" s="17" t="s">
        <v>435</v>
      </c>
      <c r="D25" s="20" t="s">
        <v>358</v>
      </c>
      <c r="E25" s="21" t="str">
        <f ca="1">IF(xxx_Jars25[[#This Row],[Jar Type]]="", "", TEXT(_xlfn.XLOOKUP(xxx_Jars25[[#This Row],[Jar Type]], Containers!A:A, Containers!C:C), "General"))</f>
        <v>1892.7</v>
      </c>
      <c r="F25" s="19" t="s">
        <v>44</v>
      </c>
      <c r="G25" s="19" t="s">
        <v>431</v>
      </c>
      <c r="H25" s="20" t="s">
        <v>360</v>
      </c>
      <c r="I25" s="20" t="str" cm="1">
        <f t="array" aca="1" ref="I2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5" s="20" t="str" cm="1">
        <f t="array" aca="1" ref="J2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5" s="17" t="s">
        <v>375</v>
      </c>
      <c r="L25" s="17" t="s">
        <v>362</v>
      </c>
      <c r="M25" s="17" t="s">
        <v>362</v>
      </c>
      <c r="N25" s="19" t="s">
        <v>82</v>
      </c>
      <c r="O25" s="17" t="s">
        <v>383</v>
      </c>
      <c r="P25" s="17">
        <f ca="1">IFERROR(VALUE(xxx_Jars25[[#This Row],[Fertilizer Added (g)]]), 0)</f>
        <v>1.44</v>
      </c>
      <c r="Q25" t="s">
        <v>8</v>
      </c>
      <c r="R25" s="17" t="s">
        <v>364</v>
      </c>
      <c r="S25" s="20" t="s">
        <v>432</v>
      </c>
      <c r="T2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5" s="1" t="s">
        <v>436</v>
      </c>
      <c r="V25" s="2" t="s">
        <v>437</v>
      </c>
      <c r="W25" s="19" t="s">
        <v>6</v>
      </c>
      <c r="X25" s="19">
        <f ca="1">IFERROR(SUM(_xlfn.SINGLE(xxx_Jars25[Fertilizer Added]), _xlfn.XLOOKUP(_xlfn.SINGLE(xxx_Jars25[Jar]), JarsPlusPlus_2[Jar], JarsPlusPlus_2[C:Total Fertilizer Added (g)])), _xlfn.SINGLE(xxx_Jars25[Fertilizer Added]))</f>
        <v>1.44</v>
      </c>
      <c r="Y25" s="17" t="s">
        <v>369</v>
      </c>
      <c r="Z25" s="17" t="s">
        <v>370</v>
      </c>
      <c r="AA25" s="17" t="s">
        <v>412</v>
      </c>
    </row>
    <row r="26" spans="1:27">
      <c r="A26" t="s">
        <v>438</v>
      </c>
      <c r="B26" s="19" t="s">
        <v>40</v>
      </c>
      <c r="C26" s="17" t="s">
        <v>439</v>
      </c>
      <c r="D26" s="20" t="s">
        <v>358</v>
      </c>
      <c r="E26" s="21" t="str">
        <f ca="1">IF(xxx_Jars25[[#This Row],[Jar Type]]="", "", TEXT(_xlfn.XLOOKUP(xxx_Jars25[[#This Row],[Jar Type]], Containers!A:A, Containers!C:C), "General"))</f>
        <v>1892.7</v>
      </c>
      <c r="F26" s="19" t="s">
        <v>44</v>
      </c>
      <c r="G26" s="19" t="s">
        <v>431</v>
      </c>
      <c r="H26" s="20" t="s">
        <v>360</v>
      </c>
      <c r="I26" s="20" t="str" cm="1">
        <f t="array" aca="1" ref="I2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6" s="20" t="str" cm="1">
        <f t="array" aca="1" ref="J2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6" s="17" t="s">
        <v>375</v>
      </c>
      <c r="L26" s="17" t="s">
        <v>362</v>
      </c>
      <c r="M26" s="17" t="s">
        <v>362</v>
      </c>
      <c r="N26" s="19" t="s">
        <v>82</v>
      </c>
      <c r="O26" s="17" t="s">
        <v>440</v>
      </c>
      <c r="P26" s="17">
        <f ca="1">IFERROR(VALUE(xxx_Jars25[[#This Row],[Fertilizer Added (g)]]), 0)</f>
        <v>1.55</v>
      </c>
      <c r="Q26" t="s">
        <v>8</v>
      </c>
      <c r="R26" s="17" t="s">
        <v>379</v>
      </c>
      <c r="S26" s="20" t="s">
        <v>432</v>
      </c>
      <c r="T26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6" s="1" t="s">
        <v>379</v>
      </c>
      <c r="V26" s="2" t="s">
        <v>441</v>
      </c>
      <c r="W26" s="19" t="s">
        <v>6</v>
      </c>
      <c r="X26" s="19">
        <f ca="1">IFERROR(SUM(_xlfn.SINGLE(xxx_Jars25[Fertilizer Added]), _xlfn.XLOOKUP(_xlfn.SINGLE(xxx_Jars25[Jar]), JarsPlusPlus_2[Jar], JarsPlusPlus_2[C:Total Fertilizer Added (g)])), _xlfn.SINGLE(xxx_Jars25[Fertilizer Added]))</f>
        <v>1.55</v>
      </c>
      <c r="Y26" s="17" t="s">
        <v>369</v>
      </c>
      <c r="Z26" s="17" t="s">
        <v>370</v>
      </c>
      <c r="AA26" s="17" t="s">
        <v>412</v>
      </c>
    </row>
    <row r="27" spans="1:27">
      <c r="A27" t="s">
        <v>442</v>
      </c>
      <c r="B27" s="19" t="s">
        <v>40</v>
      </c>
      <c r="C27" s="17" t="s">
        <v>443</v>
      </c>
      <c r="D27" s="20" t="s">
        <v>358</v>
      </c>
      <c r="E27" s="21" t="str">
        <f ca="1">IF(xxx_Jars25[[#This Row],[Jar Type]]="", "", TEXT(_xlfn.XLOOKUP(xxx_Jars25[[#This Row],[Jar Type]], Containers!A:A, Containers!C:C), "General"))</f>
        <v>1892.7</v>
      </c>
      <c r="F27" s="19" t="s">
        <v>44</v>
      </c>
      <c r="G27" s="19" t="s">
        <v>431</v>
      </c>
      <c r="H27" s="20" t="s">
        <v>360</v>
      </c>
      <c r="I27" s="20" t="str" cm="1">
        <f t="array" aca="1" ref="I2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7" s="20" t="str" cm="1">
        <f t="array" aca="1" ref="J2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7" s="17" t="s">
        <v>375</v>
      </c>
      <c r="L27" s="17" t="s">
        <v>362</v>
      </c>
      <c r="M27" s="17" t="s">
        <v>362</v>
      </c>
      <c r="N27" s="19" t="s">
        <v>82</v>
      </c>
      <c r="O27" s="17" t="s">
        <v>444</v>
      </c>
      <c r="P27" s="17">
        <f ca="1">IFERROR(VALUE(xxx_Jars25[[#This Row],[Fertilizer Added (g)]]), 0)</f>
        <v>1.57</v>
      </c>
      <c r="Q27" t="s">
        <v>8</v>
      </c>
      <c r="R27" s="17" t="s">
        <v>445</v>
      </c>
      <c r="S27" s="20" t="s">
        <v>432</v>
      </c>
      <c r="T27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7" s="1" t="s">
        <v>379</v>
      </c>
      <c r="V27" s="2" t="s">
        <v>446</v>
      </c>
      <c r="W27" s="19" t="s">
        <v>6</v>
      </c>
      <c r="X27" s="19">
        <f ca="1">IFERROR(SUM(_xlfn.SINGLE(xxx_Jars25[Fertilizer Added]), _xlfn.XLOOKUP(_xlfn.SINGLE(xxx_Jars25[Jar]), JarsPlusPlus_2[Jar], JarsPlusPlus_2[C:Total Fertilizer Added (g)])), _xlfn.SINGLE(xxx_Jars25[Fertilizer Added]))</f>
        <v>1.57</v>
      </c>
      <c r="Y27" s="17" t="s">
        <v>369</v>
      </c>
      <c r="Z27" s="17" t="s">
        <v>370</v>
      </c>
      <c r="AA27" s="17" t="s">
        <v>447</v>
      </c>
    </row>
    <row r="28" spans="1:27">
      <c r="A28" t="s">
        <v>448</v>
      </c>
      <c r="B28" s="19" t="s">
        <v>40</v>
      </c>
      <c r="C28" s="17" t="s">
        <v>449</v>
      </c>
      <c r="D28" s="20" t="s">
        <v>450</v>
      </c>
      <c r="E28" s="21" t="str">
        <f ca="1">IF(xxx_Jars25[[#This Row],[Jar Type]]="", "", TEXT(_xlfn.XLOOKUP(xxx_Jars25[[#This Row],[Jar Type]], Containers!A:A, Containers!C:C), "General"))</f>
        <v>1892.7</v>
      </c>
      <c r="F28" s="19" t="s">
        <v>6</v>
      </c>
      <c r="G28" s="19" t="s">
        <v>451</v>
      </c>
      <c r="H28" s="20" t="s">
        <v>452</v>
      </c>
      <c r="I28" s="20" t="str" cm="1">
        <f t="array" aca="1" ref="I2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8" s="20" t="str" cm="1">
        <f t="array" aca="1" ref="J2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8" s="17" t="s">
        <v>375</v>
      </c>
      <c r="L28" s="17" t="s">
        <v>362</v>
      </c>
      <c r="M28" s="17" t="s">
        <v>362</v>
      </c>
      <c r="N28" s="19" t="s">
        <v>82</v>
      </c>
      <c r="O28" s="19" t="s">
        <v>453</v>
      </c>
      <c r="P28" s="19">
        <f ca="1">IFERROR(VALUE(xxx_Jars25[[#This Row],[Fertilizer Added (g)]]), 0)</f>
        <v>1.77</v>
      </c>
      <c r="Q28" t="s">
        <v>8</v>
      </c>
      <c r="R28" s="19" t="s">
        <v>445</v>
      </c>
      <c r="S28" s="19" t="s">
        <v>454</v>
      </c>
      <c r="T28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8" s="19"/>
      <c r="V28" s="19"/>
      <c r="W28" s="17" t="s">
        <v>362</v>
      </c>
      <c r="X28" s="17">
        <f ca="1">IFERROR(SUM(_xlfn.SINGLE(xxx_Jars25[Fertilizer Added]), _xlfn.XLOOKUP(_xlfn.SINGLE(xxx_Jars25[Jar]), JarsPlusPlus_2[Jar], JarsPlusPlus_2[C:Total Fertilizer Added (g)])), _xlfn.SINGLE(xxx_Jars25[Fertilizer Added]))</f>
        <v>1.77</v>
      </c>
      <c r="Y28" s="17" t="s">
        <v>369</v>
      </c>
      <c r="Z28" s="17" t="s">
        <v>370</v>
      </c>
    </row>
    <row r="29" spans="1:27">
      <c r="A29" t="s">
        <v>455</v>
      </c>
      <c r="B29" s="19" t="s">
        <v>40</v>
      </c>
      <c r="C29" s="17" t="s">
        <v>456</v>
      </c>
      <c r="D29" s="20" t="s">
        <v>450</v>
      </c>
      <c r="E29" s="21" t="str">
        <f ca="1">IF(xxx_Jars25[[#This Row],[Jar Type]]="", "", TEXT(_xlfn.XLOOKUP(xxx_Jars25[[#This Row],[Jar Type]], Containers!A:A, Containers!C:C), "General"))</f>
        <v>1892.7</v>
      </c>
      <c r="F29" s="19" t="s">
        <v>6</v>
      </c>
      <c r="G29" s="21" t="s">
        <v>451</v>
      </c>
      <c r="H29" s="20" t="s">
        <v>452</v>
      </c>
      <c r="I29" s="20" t="str" cm="1">
        <f t="array" aca="1" ref="I2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9" s="20" t="str" cm="1">
        <f t="array" aca="1" ref="J2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9" s="17" t="s">
        <v>457</v>
      </c>
      <c r="L29" s="17" t="s">
        <v>362</v>
      </c>
      <c r="M29" s="17" t="s">
        <v>362</v>
      </c>
      <c r="N29" s="19" t="s">
        <v>82</v>
      </c>
      <c r="O29" s="19" t="s">
        <v>458</v>
      </c>
      <c r="P29" s="19">
        <f ca="1">IFERROR(VALUE(xxx_Jars25[[#This Row],[Fertilizer Added (g)]]), 0)</f>
        <v>1.72</v>
      </c>
      <c r="Q29" t="s">
        <v>8</v>
      </c>
      <c r="R29" s="21" t="s">
        <v>445</v>
      </c>
      <c r="S29" s="19" t="s">
        <v>459</v>
      </c>
      <c r="T29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9" s="19"/>
      <c r="V29" s="19"/>
      <c r="W29" s="17" t="s">
        <v>362</v>
      </c>
      <c r="X29" s="17">
        <f ca="1">IFERROR(SUM(_xlfn.SINGLE(xxx_Jars25[Fertilizer Added]), _xlfn.XLOOKUP(_xlfn.SINGLE(xxx_Jars25[Jar]), JarsPlusPlus_2[Jar], JarsPlusPlus_2[C:Total Fertilizer Added (g)])), _xlfn.SINGLE(xxx_Jars25[Fertilizer Added]))</f>
        <v>2.77</v>
      </c>
      <c r="Y29" s="17" t="s">
        <v>369</v>
      </c>
      <c r="Z29" s="17" t="s">
        <v>370</v>
      </c>
    </row>
    <row r="30" spans="1:27">
      <c r="A30" t="s">
        <v>460</v>
      </c>
      <c r="B30" s="19" t="s">
        <v>40</v>
      </c>
      <c r="C30" s="17" t="s">
        <v>460</v>
      </c>
      <c r="D30" s="20" t="s">
        <v>450</v>
      </c>
      <c r="E30" s="21" t="str">
        <f ca="1">IF(xxx_Jars25[[#This Row],[Jar Type]]="", "", TEXT(_xlfn.XLOOKUP(xxx_Jars25[[#This Row],[Jar Type]], Containers!A:A, Containers!C:C), "General"))</f>
        <v>1892.7</v>
      </c>
      <c r="F30" s="19" t="s">
        <v>6</v>
      </c>
      <c r="G30" s="21" t="s">
        <v>451</v>
      </c>
      <c r="H30" s="20" t="s">
        <v>452</v>
      </c>
      <c r="I30" s="20" t="str" cm="1">
        <f t="array" aca="1" ref="I3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0" s="20" t="str" cm="1">
        <f t="array" aca="1" ref="J3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0" s="17" t="s">
        <v>461</v>
      </c>
      <c r="L30" s="17" t="s">
        <v>362</v>
      </c>
      <c r="M30" s="17" t="s">
        <v>362</v>
      </c>
      <c r="N30" s="19" t="s">
        <v>82</v>
      </c>
      <c r="O30" s="19" t="s">
        <v>462</v>
      </c>
      <c r="P30" s="19">
        <f ca="1">IFERROR(VALUE(xxx_Jars25[[#This Row],[Fertilizer Added (g)]]), 0)</f>
        <v>1.67</v>
      </c>
      <c r="Q30" t="s">
        <v>8</v>
      </c>
      <c r="R30" s="21" t="s">
        <v>445</v>
      </c>
      <c r="S30" s="19" t="s">
        <v>463</v>
      </c>
      <c r="T30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U30" s="19"/>
      <c r="V30" s="19"/>
      <c r="W30" s="17" t="s">
        <v>362</v>
      </c>
      <c r="X30" s="17">
        <f ca="1">IFERROR(SUM(_xlfn.SINGLE(xxx_Jars25[Fertilizer Added]), _xlfn.XLOOKUP(_xlfn.SINGLE(xxx_Jars25[Jar]), JarsPlusPlus_2[Jar], JarsPlusPlus_2[C:Total Fertilizer Added (g)])), _xlfn.SINGLE(xxx_Jars25[Fertilizer Added]))</f>
        <v>1.67</v>
      </c>
      <c r="Y30" s="17" t="s">
        <v>369</v>
      </c>
      <c r="Z30" s="17" t="s">
        <v>370</v>
      </c>
    </row>
    <row r="31" spans="1:27">
      <c r="A31" t="s">
        <v>464</v>
      </c>
      <c r="B31" s="19" t="s">
        <v>40</v>
      </c>
      <c r="C31" s="17" t="s">
        <v>456</v>
      </c>
      <c r="D31" s="20" t="s">
        <v>450</v>
      </c>
      <c r="E31" s="21" t="str">
        <f ca="1">IF(xxx_Jars25[[#This Row],[Jar Type]]="", "", TEXT(_xlfn.XLOOKUP(xxx_Jars25[[#This Row],[Jar Type]], Containers!A:A, Containers!C:C), "General"))</f>
        <v>1892.7</v>
      </c>
      <c r="F31" s="19" t="s">
        <v>6</v>
      </c>
      <c r="G31" s="21" t="s">
        <v>451</v>
      </c>
      <c r="H31" s="20" t="s">
        <v>452</v>
      </c>
      <c r="I31" s="20" t="str" cm="1">
        <f t="array" aca="1" ref="I3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1" s="20" t="str" cm="1">
        <f t="array" aca="1" ref="J3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1" s="17" t="s">
        <v>465</v>
      </c>
      <c r="L31" s="17" t="s">
        <v>362</v>
      </c>
      <c r="M31" s="17" t="s">
        <v>362</v>
      </c>
      <c r="N31" s="19" t="s">
        <v>82</v>
      </c>
      <c r="O31" s="19" t="s">
        <v>466</v>
      </c>
      <c r="P31" s="19">
        <f ca="1">IFERROR(VALUE(xxx_Jars25[[#This Row],[Fertilizer Added (g)]]), 0)</f>
        <v>1.64</v>
      </c>
      <c r="Q31" t="s">
        <v>8</v>
      </c>
      <c r="R31" s="21" t="s">
        <v>445</v>
      </c>
      <c r="S31" s="19" t="s">
        <v>467</v>
      </c>
      <c r="T31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1" s="19"/>
      <c r="V31" s="19"/>
      <c r="W31" s="17" t="s">
        <v>362</v>
      </c>
      <c r="X31" s="17">
        <f ca="1">IFERROR(SUM(_xlfn.SINGLE(xxx_Jars25[Fertilizer Added]), _xlfn.XLOOKUP(_xlfn.SINGLE(xxx_Jars25[Jar]), JarsPlusPlus_2[Jar], JarsPlusPlus_2[C:Total Fertilizer Added (g)])), _xlfn.SINGLE(xxx_Jars25[Fertilizer Added]))</f>
        <v>3.16</v>
      </c>
      <c r="Y31" s="17" t="s">
        <v>369</v>
      </c>
      <c r="Z31" s="17" t="s">
        <v>370</v>
      </c>
    </row>
    <row r="32" spans="1:27">
      <c r="A32" t="s">
        <v>468</v>
      </c>
      <c r="B32" s="19" t="s">
        <v>40</v>
      </c>
      <c r="C32" s="17" t="s">
        <v>456</v>
      </c>
      <c r="D32" s="20" t="s">
        <v>450</v>
      </c>
      <c r="E32" s="21" t="str">
        <f ca="1">IF(xxx_Jars25[[#This Row],[Jar Type]]="", "", TEXT(_xlfn.XLOOKUP(xxx_Jars25[[#This Row],[Jar Type]], Containers!A:A, Containers!C:C), "General"))</f>
        <v>1892.7</v>
      </c>
      <c r="F32" s="19" t="s">
        <v>6</v>
      </c>
      <c r="G32" s="19" t="s">
        <v>469</v>
      </c>
      <c r="H32" s="20" t="s">
        <v>452</v>
      </c>
      <c r="I32" s="20" t="str" cm="1">
        <f t="array" aca="1" ref="I3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2" s="20" t="str" cm="1">
        <f t="array" aca="1" ref="J3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2" s="19" t="s">
        <v>361</v>
      </c>
      <c r="L32" s="17" t="s">
        <v>362</v>
      </c>
      <c r="M32" s="17" t="s">
        <v>362</v>
      </c>
      <c r="N32" s="19" t="s">
        <v>82</v>
      </c>
      <c r="O32" s="19" t="s">
        <v>470</v>
      </c>
      <c r="P32" s="19">
        <f ca="1">IFERROR(VALUE(xxx_Jars25[[#This Row],[Fertilizer Added (g)]]), 0)</f>
        <v>1.83</v>
      </c>
      <c r="Q32" t="s">
        <v>8</v>
      </c>
      <c r="R32" s="17" t="s">
        <v>379</v>
      </c>
      <c r="S32" s="19" t="s">
        <v>471</v>
      </c>
      <c r="T32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2" s="19"/>
      <c r="V32" s="19"/>
      <c r="W32" s="17" t="s">
        <v>362</v>
      </c>
      <c r="X32" s="17">
        <f ca="1">IFERROR(SUM(_xlfn.SINGLE(xxx_Jars25[Fertilizer Added]), _xlfn.XLOOKUP(_xlfn.SINGLE(xxx_Jars25[Jar]), JarsPlusPlus_2[Jar], JarsPlusPlus_2[C:Total Fertilizer Added (g)])), _xlfn.SINGLE(xxx_Jars25[Fertilizer Added]))</f>
        <v>1.83</v>
      </c>
      <c r="Y32" s="17" t="s">
        <v>369</v>
      </c>
      <c r="Z32" s="17" t="s">
        <v>370</v>
      </c>
    </row>
    <row r="33" spans="1:27">
      <c r="A33" t="s">
        <v>472</v>
      </c>
      <c r="B33" s="19" t="s">
        <v>42</v>
      </c>
      <c r="C33" s="19" t="s">
        <v>317</v>
      </c>
      <c r="D33" s="20" t="s">
        <v>473</v>
      </c>
      <c r="E33" s="17" t="str">
        <f ca="1">IF(xxx_Jars25[[#This Row],[Jar Type]]="", "", TEXT(_xlfn.XLOOKUP(xxx_Jars25[[#This Row],[Jar Type]], Containers!A:A, Containers!C:C), "General"))</f>
        <v>371</v>
      </c>
      <c r="F33" s="19" t="s">
        <v>6</v>
      </c>
      <c r="G33" s="19" t="s">
        <v>469</v>
      </c>
      <c r="H33" s="20" t="s">
        <v>452</v>
      </c>
      <c r="I33" s="20" t="str" cm="1">
        <f t="array" aca="1" ref="I3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3" s="20" t="str" cm="1">
        <f t="array" aca="1" ref="J3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3" s="17" t="s">
        <v>474</v>
      </c>
      <c r="L33" s="17" t="s">
        <v>362</v>
      </c>
      <c r="M33" s="17" t="s">
        <v>362</v>
      </c>
      <c r="N33" s="19" t="s">
        <v>82</v>
      </c>
      <c r="O33" s="19" t="s">
        <v>475</v>
      </c>
      <c r="P33" s="19">
        <f ca="1">IFERROR(VALUE(xxx_Jars25[[#This Row],[Fertilizer Added (g)]]), 0)</f>
        <v>0.23</v>
      </c>
      <c r="Q33" t="s">
        <v>8</v>
      </c>
      <c r="R33" s="20" t="s">
        <v>362</v>
      </c>
      <c r="S33" s="20" t="s">
        <v>362</v>
      </c>
      <c r="T33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3" s="20"/>
      <c r="V33" s="20"/>
      <c r="W33" s="17" t="s">
        <v>362</v>
      </c>
      <c r="X33" s="17">
        <f ca="1">IFERROR(SUM(_xlfn.SINGLE(xxx_Jars25[Fertilizer Added]), _xlfn.XLOOKUP(_xlfn.SINGLE(xxx_Jars25[Jar]), JarsPlusPlus_2[Jar], JarsPlusPlus_2[C:Total Fertilizer Added (g)])), _xlfn.SINGLE(xxx_Jars25[Fertilizer Added]))</f>
        <v>0.23</v>
      </c>
      <c r="Y33" s="17" t="s">
        <v>369</v>
      </c>
      <c r="Z33" s="17" t="s">
        <v>370</v>
      </c>
    </row>
    <row r="34" spans="1:27">
      <c r="A34" t="s">
        <v>150</v>
      </c>
      <c r="B34" s="19" t="s">
        <v>40</v>
      </c>
      <c r="C34" s="19" t="s">
        <v>317</v>
      </c>
      <c r="D34" s="20" t="s">
        <v>473</v>
      </c>
      <c r="E34" s="19" t="str">
        <f ca="1">IF(xxx_Jars25[[#This Row],[Jar Type]]="", "", TEXT(_xlfn.XLOOKUP(xxx_Jars25[[#This Row],[Jar Type]], Containers!A:A, Containers!C:C), "General"))</f>
        <v>1892.7</v>
      </c>
      <c r="F34" s="19" t="s">
        <v>6</v>
      </c>
      <c r="G34" s="19" t="s">
        <v>476</v>
      </c>
      <c r="H34" s="20" t="s">
        <v>452</v>
      </c>
      <c r="I34" s="20" t="str" cm="1">
        <f t="array" aca="1" ref="I3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4" s="20" t="str" cm="1">
        <f t="array" aca="1" ref="J3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4" s="17" t="s">
        <v>477</v>
      </c>
      <c r="L34" s="17" t="s">
        <v>362</v>
      </c>
      <c r="M34" s="17" t="s">
        <v>362</v>
      </c>
      <c r="N34" s="19" t="s">
        <v>82</v>
      </c>
      <c r="O34" s="17" t="s">
        <v>44</v>
      </c>
      <c r="P34" s="17">
        <f ca="1">IFERROR(VALUE(xxx_Jars25[[#This Row],[Fertilizer Added (g)]]), 0)</f>
        <v>0</v>
      </c>
      <c r="Q34" t="s">
        <v>8</v>
      </c>
      <c r="R34" s="20" t="s">
        <v>362</v>
      </c>
      <c r="S34" s="20" t="s">
        <v>362</v>
      </c>
      <c r="T34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4" s="20"/>
      <c r="V34" s="20"/>
      <c r="W34" s="17" t="s">
        <v>362</v>
      </c>
      <c r="X34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34" s="17" t="s">
        <v>369</v>
      </c>
      <c r="Z34" s="17" t="s">
        <v>370</v>
      </c>
    </row>
    <row r="35" spans="1:27">
      <c r="A35" t="s">
        <v>478</v>
      </c>
      <c r="B35" s="17" t="s">
        <v>48</v>
      </c>
      <c r="C35" s="8" t="s">
        <v>317</v>
      </c>
      <c r="D35" s="20" t="s">
        <v>473</v>
      </c>
      <c r="E35" s="19" t="str">
        <f ca="1">IF(xxx_Jars25[[#This Row],[Jar Type]]="", "", TEXT(_xlfn.XLOOKUP(xxx_Jars25[[#This Row],[Jar Type]], Containers!A:A, Containers!C:C), "General"))</f>
        <v>354</v>
      </c>
      <c r="F35" s="19" t="s">
        <v>6</v>
      </c>
      <c r="G35" s="17" t="s">
        <v>479</v>
      </c>
      <c r="H35" s="20" t="s">
        <v>452</v>
      </c>
      <c r="I35" s="20" t="str" cm="1">
        <f t="array" aca="1" ref="I3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5" s="20" t="str" cm="1">
        <f t="array" aca="1" ref="J3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5" s="17" t="s">
        <v>60</v>
      </c>
      <c r="L35" s="17" t="s">
        <v>362</v>
      </c>
      <c r="M35" s="17" t="s">
        <v>362</v>
      </c>
      <c r="N35" s="19" t="s">
        <v>82</v>
      </c>
      <c r="O35" s="19" t="s">
        <v>480</v>
      </c>
      <c r="P35" s="19">
        <f ca="1">IFERROR(VALUE(xxx_Jars25[[#This Row],[Fertilizer Added (g)]]), 0)</f>
        <v>0.17</v>
      </c>
      <c r="Q35" t="s">
        <v>8</v>
      </c>
      <c r="R35" s="17" t="s">
        <v>410</v>
      </c>
      <c r="S35" s="20" t="s">
        <v>362</v>
      </c>
      <c r="T3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5" s="20"/>
      <c r="V35" s="20"/>
      <c r="W35" s="17" t="s">
        <v>362</v>
      </c>
      <c r="X35" s="17">
        <f ca="1">IFERROR(SUM(_xlfn.SINGLE(xxx_Jars25[Fertilizer Added]), _xlfn.XLOOKUP(_xlfn.SINGLE(xxx_Jars25[Jar]), JarsPlusPlus_2[Jar], JarsPlusPlus_2[C:Total Fertilizer Added (g)])), _xlfn.SINGLE(xxx_Jars25[Fertilizer Added]))</f>
        <v>0.17</v>
      </c>
      <c r="Y35" s="20" t="s">
        <v>481</v>
      </c>
      <c r="Z35" s="17" t="s">
        <v>370</v>
      </c>
    </row>
    <row r="36" spans="1:27">
      <c r="A36" t="s">
        <v>482</v>
      </c>
      <c r="B36" s="19" t="s">
        <v>40</v>
      </c>
      <c r="C36" s="17" t="s">
        <v>439</v>
      </c>
      <c r="D36" s="20" t="s">
        <v>450</v>
      </c>
      <c r="E36" s="21" t="str">
        <f ca="1">IF(xxx_Jars25[[#This Row],[Jar Type]]="", "", TEXT(_xlfn.XLOOKUP(xxx_Jars25[[#This Row],[Jar Type]], Containers!A:A, Containers!C:C), "General"))</f>
        <v>1892.7</v>
      </c>
      <c r="F36" s="19" t="s">
        <v>6</v>
      </c>
      <c r="G36" s="17" t="s">
        <v>479</v>
      </c>
      <c r="H36" s="20" t="s">
        <v>452</v>
      </c>
      <c r="I36" s="20" t="str" cm="1">
        <f t="array" aca="1" ref="I3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6" s="20" t="str" cm="1">
        <f t="array" aca="1" ref="J3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6" s="17" t="s">
        <v>483</v>
      </c>
      <c r="L36" s="17" t="s">
        <v>362</v>
      </c>
      <c r="M36" s="17" t="s">
        <v>362</v>
      </c>
      <c r="N36" s="19" t="s">
        <v>82</v>
      </c>
      <c r="O36" s="17" t="s">
        <v>484</v>
      </c>
      <c r="P36" s="17">
        <f ca="1">IFERROR(VALUE(xxx_Jars25[[#This Row],[Fertilizer Added (g)]]), 0)</f>
        <v>1.87</v>
      </c>
      <c r="Q36" t="s">
        <v>8</v>
      </c>
      <c r="R36" s="17" t="s">
        <v>367</v>
      </c>
      <c r="S36" s="17" t="s">
        <v>485</v>
      </c>
      <c r="T3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6" s="17" t="s">
        <v>362</v>
      </c>
      <c r="X36" s="17">
        <f ca="1">IFERROR(SUM(_xlfn.SINGLE(xxx_Jars25[Fertilizer Added]), _xlfn.XLOOKUP(_xlfn.SINGLE(xxx_Jars25[Jar]), JarsPlusPlus_2[Jar], JarsPlusPlus_2[C:Total Fertilizer Added (g)])), _xlfn.SINGLE(xxx_Jars25[Fertilizer Added]))</f>
        <v>1.87</v>
      </c>
      <c r="Y36" s="17" t="s">
        <v>369</v>
      </c>
      <c r="Z36" s="17" t="s">
        <v>370</v>
      </c>
    </row>
    <row r="37" spans="1:27">
      <c r="A37" t="s">
        <v>486</v>
      </c>
      <c r="B37" s="19" t="s">
        <v>40</v>
      </c>
      <c r="C37" s="17" t="s">
        <v>456</v>
      </c>
      <c r="D37" s="20" t="s">
        <v>450</v>
      </c>
      <c r="E37" s="21" t="str">
        <f ca="1">IF(xxx_Jars25[[#This Row],[Jar Type]]="", "", TEXT(_xlfn.XLOOKUP(xxx_Jars25[[#This Row],[Jar Type]], Containers!A:A, Containers!C:C), "General"))</f>
        <v>1892.7</v>
      </c>
      <c r="F37" s="19" t="s">
        <v>6</v>
      </c>
      <c r="G37" s="17" t="s">
        <v>479</v>
      </c>
      <c r="H37" s="20" t="s">
        <v>452</v>
      </c>
      <c r="I37" s="20" t="str" cm="1">
        <f t="array" aca="1" ref="I3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7" s="20" t="str" cm="1">
        <f t="array" aca="1" ref="J3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7" s="17" t="s">
        <v>375</v>
      </c>
      <c r="L37" s="17" t="s">
        <v>362</v>
      </c>
      <c r="M37" s="17" t="s">
        <v>362</v>
      </c>
      <c r="N37" s="19" t="s">
        <v>82</v>
      </c>
      <c r="O37" s="17" t="s">
        <v>470</v>
      </c>
      <c r="P37" s="17">
        <f ca="1">IFERROR(VALUE(xxx_Jars25[[#This Row],[Fertilizer Added (g)]]), 0)</f>
        <v>1.83</v>
      </c>
      <c r="Q37" t="s">
        <v>8</v>
      </c>
      <c r="R37" s="17" t="s">
        <v>379</v>
      </c>
      <c r="S37" s="17" t="s">
        <v>487</v>
      </c>
      <c r="T3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7" s="17" t="s">
        <v>362</v>
      </c>
      <c r="X37" s="17">
        <f ca="1">IFERROR(SUM(_xlfn.SINGLE(xxx_Jars25[Fertilizer Added]), _xlfn.XLOOKUP(_xlfn.SINGLE(xxx_Jars25[Jar]), JarsPlusPlus_2[Jar], JarsPlusPlus_2[C:Total Fertilizer Added (g)])), _xlfn.SINGLE(xxx_Jars25[Fertilizer Added]))</f>
        <v>3.63</v>
      </c>
      <c r="Y37" s="17" t="s">
        <v>369</v>
      </c>
      <c r="Z37" s="17" t="s">
        <v>370</v>
      </c>
    </row>
    <row r="38" spans="1:27">
      <c r="A38" t="s">
        <v>489</v>
      </c>
      <c r="B38" s="19" t="s">
        <v>40</v>
      </c>
      <c r="C38" s="17" t="s">
        <v>490</v>
      </c>
      <c r="D38" s="20" t="s">
        <v>450</v>
      </c>
      <c r="E38" s="17" t="str">
        <f ca="1">IF(xxx_Jars25[[#This Row],[Jar Type]]="", "", TEXT(_xlfn.XLOOKUP(xxx_Jars25[[#This Row],[Jar Type]], Containers!A:A, Containers!C:C), "General"))</f>
        <v>1892.7</v>
      </c>
      <c r="F38" s="19" t="s">
        <v>6</v>
      </c>
      <c r="G38" s="17" t="s">
        <v>479</v>
      </c>
      <c r="H38" s="20" t="s">
        <v>452</v>
      </c>
      <c r="I38" s="20" t="str" cm="1">
        <f t="array" aca="1" ref="I3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8" s="20" t="str" cm="1">
        <f t="array" aca="1" ref="J3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8" s="17" t="s">
        <v>457</v>
      </c>
      <c r="L38" s="17" t="s">
        <v>362</v>
      </c>
      <c r="M38" s="17" t="s">
        <v>362</v>
      </c>
      <c r="N38" s="19" t="s">
        <v>82</v>
      </c>
      <c r="O38" s="17" t="s">
        <v>491</v>
      </c>
      <c r="P38" s="17">
        <f ca="1">IFERROR(VALUE(xxx_Jars25[[#This Row],[Fertilizer Added (g)]]), 0)</f>
        <v>1.71</v>
      </c>
      <c r="Q38" t="s">
        <v>8</v>
      </c>
      <c r="R38" s="17" t="s">
        <v>364</v>
      </c>
      <c r="S38" s="17" t="s">
        <v>492</v>
      </c>
      <c r="T3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8" s="19" t="s">
        <v>6</v>
      </c>
      <c r="X38" s="19">
        <f ca="1">IFERROR(SUM(_xlfn.SINGLE(xxx_Jars25[Fertilizer Added]), _xlfn.XLOOKUP(_xlfn.SINGLE(xxx_Jars25[Jar]), JarsPlusPlus_2[Jar], JarsPlusPlus_2[C:Total Fertilizer Added (g)])), _xlfn.SINGLE(xxx_Jars25[Fertilizer Added]))</f>
        <v>2.4039999999999999</v>
      </c>
      <c r="Y38" s="17" t="s">
        <v>369</v>
      </c>
      <c r="Z38" s="17" t="s">
        <v>370</v>
      </c>
      <c r="AA38" s="17" t="s">
        <v>493</v>
      </c>
    </row>
    <row r="39" spans="1:27">
      <c r="A39" t="s">
        <v>494</v>
      </c>
      <c r="B39" s="19" t="s">
        <v>40</v>
      </c>
      <c r="C39" s="17" t="s">
        <v>495</v>
      </c>
      <c r="D39" s="20" t="s">
        <v>450</v>
      </c>
      <c r="E39" s="17" t="str">
        <f ca="1">IF(xxx_Jars25[[#This Row],[Jar Type]]="", "", TEXT(_xlfn.XLOOKUP(xxx_Jars25[[#This Row],[Jar Type]], Containers!A:A, Containers!C:C), "General"))</f>
        <v>1892.7</v>
      </c>
      <c r="F39" s="19" t="s">
        <v>6</v>
      </c>
      <c r="G39" s="17" t="s">
        <v>479</v>
      </c>
      <c r="H39" s="20" t="s">
        <v>452</v>
      </c>
      <c r="I39" s="20" t="str" cm="1">
        <f t="array" aca="1" ref="I3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9" s="20" t="str" cm="1">
        <f t="array" aca="1" ref="J3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9" s="17" t="s">
        <v>461</v>
      </c>
      <c r="L39" s="17" t="s">
        <v>362</v>
      </c>
      <c r="M39" s="17" t="s">
        <v>362</v>
      </c>
      <c r="N39" s="19" t="s">
        <v>82</v>
      </c>
      <c r="O39" s="17" t="s">
        <v>496</v>
      </c>
      <c r="P39" s="17">
        <f ca="1">IFERROR(VALUE(xxx_Jars25[[#This Row],[Fertilizer Added (g)]]), 0)</f>
        <v>1.66</v>
      </c>
      <c r="Q39" t="s">
        <v>8</v>
      </c>
      <c r="R39" s="17" t="s">
        <v>379</v>
      </c>
      <c r="S39" s="17" t="s">
        <v>497</v>
      </c>
      <c r="T3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9" s="17" t="s">
        <v>362</v>
      </c>
      <c r="X39" s="17">
        <f ca="1">IFERROR(SUM(_xlfn.SINGLE(xxx_Jars25[Fertilizer Added]), _xlfn.XLOOKUP(_xlfn.SINGLE(xxx_Jars25[Jar]), JarsPlusPlus_2[Jar], JarsPlusPlus_2[C:Total Fertilizer Added (g)])), _xlfn.SINGLE(xxx_Jars25[Fertilizer Added]))</f>
        <v>2.552</v>
      </c>
      <c r="Y39" s="17" t="s">
        <v>369</v>
      </c>
      <c r="Z39" s="17" t="s">
        <v>370</v>
      </c>
    </row>
    <row r="40" spans="1:27">
      <c r="A40" t="s">
        <v>498</v>
      </c>
      <c r="B40" s="19" t="s">
        <v>40</v>
      </c>
      <c r="C40" s="17" t="s">
        <v>498</v>
      </c>
      <c r="D40" s="20" t="s">
        <v>450</v>
      </c>
      <c r="E40" s="17" t="str">
        <f ca="1">IF(xxx_Jars25[[#This Row],[Jar Type]]="", "", TEXT(_xlfn.XLOOKUP(xxx_Jars25[[#This Row],[Jar Type]], Containers!A:A, Containers!C:C), "General"))</f>
        <v>1892.7</v>
      </c>
      <c r="F40" s="19" t="s">
        <v>6</v>
      </c>
      <c r="G40" s="17" t="s">
        <v>479</v>
      </c>
      <c r="H40" s="20" t="s">
        <v>452</v>
      </c>
      <c r="I40" s="20" t="str" cm="1">
        <f t="array" aca="1" ref="I4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0" s="20" t="str" cm="1">
        <f t="array" aca="1" ref="J4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0" s="17" t="s">
        <v>465</v>
      </c>
      <c r="L40" s="17" t="s">
        <v>362</v>
      </c>
      <c r="M40" s="17" t="s">
        <v>362</v>
      </c>
      <c r="N40" s="19" t="s">
        <v>82</v>
      </c>
      <c r="O40" s="17" t="s">
        <v>499</v>
      </c>
      <c r="P40" s="17">
        <f ca="1">IFERROR(VALUE(xxx_Jars25[[#This Row],[Fertilizer Added (g)]]), 0)</f>
        <v>1.61</v>
      </c>
      <c r="Q40" t="s">
        <v>8</v>
      </c>
      <c r="R40" s="17" t="s">
        <v>379</v>
      </c>
      <c r="S40" s="17" t="s">
        <v>500</v>
      </c>
      <c r="T4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0" s="17" t="s">
        <v>362</v>
      </c>
      <c r="X40" s="17">
        <f ca="1">IFERROR(SUM(_xlfn.SINGLE(xxx_Jars25[Fertilizer Added]), _xlfn.XLOOKUP(_xlfn.SINGLE(xxx_Jars25[Jar]), JarsPlusPlus_2[Jar], JarsPlusPlus_2[C:Total Fertilizer Added (g)])), _xlfn.SINGLE(xxx_Jars25[Fertilizer Added]))</f>
        <v>1.61</v>
      </c>
      <c r="Y40" s="17" t="s">
        <v>369</v>
      </c>
      <c r="Z40" s="17" t="s">
        <v>370</v>
      </c>
    </row>
    <row r="41" spans="1:27">
      <c r="A41" t="s">
        <v>147</v>
      </c>
      <c r="B41" s="19" t="s">
        <v>40</v>
      </c>
      <c r="C41" s="17" t="s">
        <v>147</v>
      </c>
      <c r="D41" s="20" t="s">
        <v>450</v>
      </c>
      <c r="E41" s="17" t="str">
        <f ca="1">IF(xxx_Jars25[[#This Row],[Jar Type]]="", "", TEXT(_xlfn.XLOOKUP(xxx_Jars25[[#This Row],[Jar Type]], Containers!A:A, Containers!C:C), "General"))</f>
        <v>1892.7</v>
      </c>
      <c r="F41" s="19" t="s">
        <v>6</v>
      </c>
      <c r="G41" s="17" t="s">
        <v>479</v>
      </c>
      <c r="H41" s="20" t="s">
        <v>452</v>
      </c>
      <c r="I41" s="20" t="str" cm="1">
        <f t="array" aca="1" ref="I4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1" s="20" t="str" cm="1">
        <f t="array" aca="1" ref="J4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1" s="17" t="s">
        <v>501</v>
      </c>
      <c r="L41" s="17" t="s">
        <v>362</v>
      </c>
      <c r="M41" s="17" t="s">
        <v>362</v>
      </c>
      <c r="N41" s="19" t="s">
        <v>82</v>
      </c>
      <c r="O41" s="17" t="s">
        <v>502</v>
      </c>
      <c r="P41" s="17">
        <f ca="1">IFERROR(VALUE(xxx_Jars25[[#This Row],[Fertilizer Added (g)]]), 0)</f>
        <v>1.54</v>
      </c>
      <c r="Q41" t="s">
        <v>8</v>
      </c>
      <c r="R41" s="17" t="s">
        <v>379</v>
      </c>
      <c r="S41" s="17" t="s">
        <v>503</v>
      </c>
      <c r="T4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1" s="17" t="s">
        <v>362</v>
      </c>
      <c r="X41" s="17">
        <f ca="1">IFERROR(SUM(_xlfn.SINGLE(xxx_Jars25[Fertilizer Added]), _xlfn.XLOOKUP(_xlfn.SINGLE(xxx_Jars25[Jar]), JarsPlusPlus_2[Jar], JarsPlusPlus_2[C:Total Fertilizer Added (g)])), _xlfn.SINGLE(xxx_Jars25[Fertilizer Added]))</f>
        <v>1.54</v>
      </c>
      <c r="Y41" s="17" t="s">
        <v>369</v>
      </c>
      <c r="Z41" s="17" t="s">
        <v>370</v>
      </c>
    </row>
    <row r="42" spans="1:27">
      <c r="A42" t="s">
        <v>504</v>
      </c>
      <c r="B42" s="17" t="s">
        <v>54</v>
      </c>
      <c r="C42" s="8" t="s">
        <v>317</v>
      </c>
      <c r="D42" s="17" t="s">
        <v>473</v>
      </c>
      <c r="E42" s="17" t="str">
        <f ca="1">IF(xxx_Jars25[[#This Row],[Jar Type]]="", "", TEXT(_xlfn.XLOOKUP(xxx_Jars25[[#This Row],[Jar Type]], Containers!A:A, Containers!C:C), "General"))</f>
        <v>361</v>
      </c>
      <c r="F42" s="19" t="s">
        <v>6</v>
      </c>
      <c r="G42" s="19" t="s">
        <v>505</v>
      </c>
      <c r="H42" s="20" t="s">
        <v>452</v>
      </c>
      <c r="I42" s="20" t="str" cm="1">
        <f t="array" aca="1" ref="I4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2" s="20" t="str" cm="1">
        <f t="array" aca="1" ref="J4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2" s="17" t="s">
        <v>474</v>
      </c>
      <c r="L42" s="17" t="s">
        <v>362</v>
      </c>
      <c r="M42" s="17" t="s">
        <v>362</v>
      </c>
      <c r="N42" s="19" t="s">
        <v>82</v>
      </c>
      <c r="O42" s="17" t="s">
        <v>44</v>
      </c>
      <c r="P42" s="17">
        <f ca="1">IFERROR(VALUE(xxx_Jars25[[#This Row],[Fertilizer Added (g)]]), 0)</f>
        <v>0</v>
      </c>
      <c r="Q42" t="s">
        <v>8</v>
      </c>
      <c r="R42" s="17" t="s">
        <v>362</v>
      </c>
      <c r="S42" s="17" t="s">
        <v>362</v>
      </c>
      <c r="T4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42" s="17" t="s">
        <v>362</v>
      </c>
      <c r="X42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2" s="17" t="s">
        <v>481</v>
      </c>
      <c r="Z42" s="17" t="s">
        <v>370</v>
      </c>
    </row>
    <row r="43" spans="1:27">
      <c r="A43" t="s">
        <v>506</v>
      </c>
      <c r="B43" s="17" t="s">
        <v>59</v>
      </c>
      <c r="C43" s="8" t="s">
        <v>317</v>
      </c>
      <c r="D43" s="17" t="s">
        <v>473</v>
      </c>
      <c r="E43" s="17" t="str">
        <f ca="1">IF(xxx_Jars25[[#This Row],[Jar Type]]="", "", TEXT(_xlfn.XLOOKUP(xxx_Jars25[[#This Row],[Jar Type]], Containers!A:A, Containers!C:C), "General"))</f>
        <v>250</v>
      </c>
      <c r="F43" s="19" t="s">
        <v>6</v>
      </c>
      <c r="G43" s="19" t="s">
        <v>507</v>
      </c>
      <c r="H43" s="20" t="s">
        <v>452</v>
      </c>
      <c r="I43" s="20" t="str" cm="1">
        <f t="array" aca="1" ref="I4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3" s="20" t="str" cm="1">
        <f t="array" aca="1" ref="J4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3" s="19" t="s">
        <v>508</v>
      </c>
      <c r="L43" s="17" t="s">
        <v>362</v>
      </c>
      <c r="M43" s="17" t="s">
        <v>362</v>
      </c>
      <c r="N43" s="19" t="s">
        <v>82</v>
      </c>
      <c r="O43" s="17" t="s">
        <v>44</v>
      </c>
      <c r="P43" s="17">
        <f ca="1">IFERROR(VALUE(xxx_Jars25[[#This Row],[Fertilizer Added (g)]]), 0)</f>
        <v>0</v>
      </c>
      <c r="Q43" t="s">
        <v>8</v>
      </c>
      <c r="R43" s="17" t="s">
        <v>362</v>
      </c>
      <c r="S43" s="17" t="s">
        <v>362</v>
      </c>
      <c r="T4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3" s="19" t="s">
        <v>6</v>
      </c>
      <c r="X43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3" s="17" t="s">
        <v>509</v>
      </c>
      <c r="Z43" s="17" t="s">
        <v>370</v>
      </c>
      <c r="AA43" s="17" t="s">
        <v>510</v>
      </c>
    </row>
    <row r="44" spans="1:27">
      <c r="A44" t="s">
        <v>511</v>
      </c>
      <c r="B44" s="20" t="s">
        <v>59</v>
      </c>
      <c r="C44" s="8" t="s">
        <v>317</v>
      </c>
      <c r="D44" s="19" t="s">
        <v>473</v>
      </c>
      <c r="E44" s="17" t="str">
        <f ca="1">IF(xxx_Jars25[[#This Row],[Jar Type]]="", "", TEXT(_xlfn.XLOOKUP(xxx_Jars25[[#This Row],[Jar Type]], Containers!A:A, Containers!C:C), "General"))</f>
        <v>250</v>
      </c>
      <c r="F44" s="19" t="s">
        <v>6</v>
      </c>
      <c r="G44" s="21" t="s">
        <v>507</v>
      </c>
      <c r="H44" s="20" t="s">
        <v>452</v>
      </c>
      <c r="I44" s="20" t="str" cm="1">
        <f t="array" aca="1" ref="I4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4" s="20" t="str" cm="1">
        <f t="array" aca="1" ref="J4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4" s="21" t="s">
        <v>508</v>
      </c>
      <c r="L44" s="17" t="s">
        <v>362</v>
      </c>
      <c r="M44" s="17" t="s">
        <v>362</v>
      </c>
      <c r="N44" s="19" t="s">
        <v>82</v>
      </c>
      <c r="O44" s="17" t="s">
        <v>44</v>
      </c>
      <c r="P44" s="17">
        <f ca="1">IFERROR(VALUE(xxx_Jars25[[#This Row],[Fertilizer Added (g)]]), 0)</f>
        <v>0</v>
      </c>
      <c r="Q44" t="s">
        <v>8</v>
      </c>
      <c r="R44" s="17" t="s">
        <v>362</v>
      </c>
      <c r="S44" s="17" t="s">
        <v>362</v>
      </c>
      <c r="T4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4" s="19" t="s">
        <v>6</v>
      </c>
      <c r="X44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4" s="20" t="s">
        <v>509</v>
      </c>
      <c r="Z44" s="17" t="s">
        <v>370</v>
      </c>
      <c r="AA44" s="3" t="s">
        <v>510</v>
      </c>
    </row>
    <row r="45" spans="1:27">
      <c r="A45" t="s">
        <v>512</v>
      </c>
      <c r="B45" s="20" t="s">
        <v>59</v>
      </c>
      <c r="C45" s="8" t="s">
        <v>317</v>
      </c>
      <c r="D45" s="19" t="s">
        <v>473</v>
      </c>
      <c r="E45" s="17" t="str">
        <f ca="1">IF(xxx_Jars25[[#This Row],[Jar Type]]="", "", TEXT(_xlfn.XLOOKUP(xxx_Jars25[[#This Row],[Jar Type]], Containers!A:A, Containers!C:C), "General"))</f>
        <v>250</v>
      </c>
      <c r="F45" s="19" t="s">
        <v>6</v>
      </c>
      <c r="G45" s="21" t="s">
        <v>507</v>
      </c>
      <c r="H45" s="20" t="s">
        <v>452</v>
      </c>
      <c r="I45" s="20" t="str" cm="1">
        <f t="array" aca="1" ref="I4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5" s="20" t="str" cm="1">
        <f t="array" aca="1" ref="J4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5" s="21" t="s">
        <v>508</v>
      </c>
      <c r="L45" s="17" t="s">
        <v>362</v>
      </c>
      <c r="M45" s="17" t="s">
        <v>362</v>
      </c>
      <c r="N45" s="19" t="s">
        <v>82</v>
      </c>
      <c r="O45" s="17" t="s">
        <v>44</v>
      </c>
      <c r="P45" s="17">
        <f ca="1">IFERROR(VALUE(xxx_Jars25[[#This Row],[Fertilizer Added (g)]]), 0)</f>
        <v>0</v>
      </c>
      <c r="Q45" t="s">
        <v>8</v>
      </c>
      <c r="R45" s="17" t="s">
        <v>362</v>
      </c>
      <c r="S45" s="17" t="s">
        <v>362</v>
      </c>
      <c r="T4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5" s="19" t="s">
        <v>6</v>
      </c>
      <c r="X45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5" s="20" t="s">
        <v>509</v>
      </c>
      <c r="Z45" s="17" t="s">
        <v>370</v>
      </c>
      <c r="AA45" s="3" t="s">
        <v>510</v>
      </c>
    </row>
    <row r="46" spans="1:27">
      <c r="A46" t="s">
        <v>513</v>
      </c>
      <c r="B46" s="17" t="s">
        <v>59</v>
      </c>
      <c r="C46" s="8" t="s">
        <v>317</v>
      </c>
      <c r="D46" s="17" t="s">
        <v>473</v>
      </c>
      <c r="E46" s="17" t="str">
        <f ca="1">IF(xxx_Jars25[[#This Row],[Jar Type]]="", "", TEXT(_xlfn.XLOOKUP(xxx_Jars25[[#This Row],[Jar Type]], Containers!A:A, Containers!C:C), "General"))</f>
        <v>250</v>
      </c>
      <c r="F46" s="19" t="s">
        <v>44</v>
      </c>
      <c r="G46" s="19" t="s">
        <v>514</v>
      </c>
      <c r="H46" s="20" t="s">
        <v>452</v>
      </c>
      <c r="I46" s="20" t="str" cm="1">
        <f t="array" aca="1" ref="I4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6" s="20" t="str" cm="1">
        <f t="array" aca="1" ref="J4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6" s="19" t="s">
        <v>159</v>
      </c>
      <c r="L46" s="17" t="s">
        <v>362</v>
      </c>
      <c r="M46" s="17" t="s">
        <v>362</v>
      </c>
      <c r="N46" s="19" t="s">
        <v>82</v>
      </c>
      <c r="O46" s="17" t="s">
        <v>44</v>
      </c>
      <c r="P46" s="17">
        <f ca="1">IFERROR(VALUE(xxx_Jars25[[#This Row],[Fertilizer Added (g)]]), 0)</f>
        <v>0</v>
      </c>
      <c r="Q46" t="s">
        <v>8</v>
      </c>
      <c r="R46" s="17" t="s">
        <v>362</v>
      </c>
      <c r="S46" s="17" t="s">
        <v>362</v>
      </c>
      <c r="T4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6" s="19" t="s">
        <v>44</v>
      </c>
      <c r="X46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6" s="17" t="s">
        <v>509</v>
      </c>
      <c r="Z46" s="17" t="s">
        <v>370</v>
      </c>
    </row>
    <row r="47" spans="1:27">
      <c r="A47" t="s">
        <v>515</v>
      </c>
      <c r="B47" s="20" t="s">
        <v>59</v>
      </c>
      <c r="C47" s="8" t="s">
        <v>317</v>
      </c>
      <c r="D47" s="19" t="s">
        <v>473</v>
      </c>
      <c r="E47" s="17" t="str">
        <f ca="1">IF(xxx_Jars25[[#This Row],[Jar Type]]="", "", TEXT(_xlfn.XLOOKUP(xxx_Jars25[[#This Row],[Jar Type]], Containers!A:A, Containers!C:C), "General"))</f>
        <v>250</v>
      </c>
      <c r="F47" s="19" t="s">
        <v>44</v>
      </c>
      <c r="G47" s="21" t="s">
        <v>514</v>
      </c>
      <c r="H47" s="20" t="s">
        <v>452</v>
      </c>
      <c r="I47" s="20" t="str" cm="1">
        <f t="array" aca="1" ref="I4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7" s="20" t="str" cm="1">
        <f t="array" aca="1" ref="J4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7" s="21" t="s">
        <v>516</v>
      </c>
      <c r="L47" s="17" t="s">
        <v>362</v>
      </c>
      <c r="M47" s="17" t="s">
        <v>362</v>
      </c>
      <c r="N47" s="19" t="s">
        <v>82</v>
      </c>
      <c r="O47" s="17" t="s">
        <v>44</v>
      </c>
      <c r="P47" s="17">
        <f ca="1">IFERROR(VALUE(xxx_Jars25[[#This Row],[Fertilizer Added (g)]]), 0)</f>
        <v>0</v>
      </c>
      <c r="Q47" t="s">
        <v>8</v>
      </c>
      <c r="R47" s="17" t="s">
        <v>362</v>
      </c>
      <c r="S47" s="17" t="s">
        <v>362</v>
      </c>
      <c r="T4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7" s="19" t="s">
        <v>44</v>
      </c>
      <c r="X47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7" s="20" t="s">
        <v>509</v>
      </c>
      <c r="Z47" s="17" t="s">
        <v>370</v>
      </c>
    </row>
    <row r="48" spans="1:27">
      <c r="A48" t="s">
        <v>517</v>
      </c>
      <c r="B48" s="20" t="s">
        <v>59</v>
      </c>
      <c r="C48" s="8" t="s">
        <v>317</v>
      </c>
      <c r="D48" s="19" t="s">
        <v>473</v>
      </c>
      <c r="E48" s="17" t="str">
        <f ca="1">IF(xxx_Jars25[[#This Row],[Jar Type]]="", "", TEXT(_xlfn.XLOOKUP(xxx_Jars25[[#This Row],[Jar Type]], Containers!A:A, Containers!C:C), "General"))</f>
        <v>250</v>
      </c>
      <c r="F48" s="19" t="s">
        <v>44</v>
      </c>
      <c r="G48" s="21" t="s">
        <v>514</v>
      </c>
      <c r="H48" s="20" t="s">
        <v>452</v>
      </c>
      <c r="I48" s="20" t="str" cm="1">
        <f t="array" aca="1" ref="I4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8" s="20" t="str" cm="1">
        <f t="array" aca="1" ref="J4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8" s="21" t="s">
        <v>518</v>
      </c>
      <c r="L48" s="17" t="s">
        <v>362</v>
      </c>
      <c r="M48" s="17" t="s">
        <v>362</v>
      </c>
      <c r="N48" s="19" t="s">
        <v>82</v>
      </c>
      <c r="O48" s="17" t="s">
        <v>44</v>
      </c>
      <c r="P48" s="17">
        <f ca="1">IFERROR(VALUE(xxx_Jars25[[#This Row],[Fertilizer Added (g)]]), 0)</f>
        <v>0</v>
      </c>
      <c r="Q48" t="s">
        <v>8</v>
      </c>
      <c r="R48" s="17" t="s">
        <v>362</v>
      </c>
      <c r="S48" s="17" t="s">
        <v>362</v>
      </c>
      <c r="T4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8" s="19" t="s">
        <v>44</v>
      </c>
      <c r="X48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8" s="20" t="s">
        <v>509</v>
      </c>
      <c r="Z48" s="17" t="s">
        <v>370</v>
      </c>
    </row>
    <row r="49" spans="1:26">
      <c r="A49" s="10" t="s">
        <v>519</v>
      </c>
      <c r="B49" s="19" t="s">
        <v>40</v>
      </c>
      <c r="D49" s="17" t="s">
        <v>450</v>
      </c>
      <c r="E49" s="17" t="str">
        <f ca="1">IF(xxx_Jars25[[#This Row],[Jar Type]]="", "", TEXT(_xlfn.XLOOKUP(xxx_Jars25[[#This Row],[Jar Type]], Containers!A:A, Containers!C:C), "General"))</f>
        <v>1892.7</v>
      </c>
      <c r="F49" s="19" t="s">
        <v>6</v>
      </c>
      <c r="G49" s="19" t="s">
        <v>520</v>
      </c>
      <c r="H49" s="23" t="s">
        <v>452</v>
      </c>
      <c r="I49" s="20" t="str" cm="1">
        <f t="array" aca="1" ref="I4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9" s="20" t="str" cm="1">
        <f t="array" aca="1" ref="J4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9" s="19" t="s">
        <v>375</v>
      </c>
      <c r="L49" s="17" t="s">
        <v>362</v>
      </c>
      <c r="M49" s="17" t="s">
        <v>362</v>
      </c>
      <c r="N49" s="19" t="s">
        <v>82</v>
      </c>
      <c r="P49" s="17">
        <f ca="1">IFERROR(VALUE(xxx_Jars25[[#This Row],[Fertilizer Added (g)]]), 0)</f>
        <v>0</v>
      </c>
      <c r="Q49" t="s">
        <v>8</v>
      </c>
      <c r="T4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9" s="19" t="s">
        <v>44</v>
      </c>
      <c r="X49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9" s="17" t="s">
        <v>369</v>
      </c>
      <c r="Z49" s="17" t="s">
        <v>370</v>
      </c>
    </row>
    <row r="50" spans="1:26">
      <c r="A50" s="10" t="s">
        <v>521</v>
      </c>
      <c r="B50" s="19" t="s">
        <v>40</v>
      </c>
      <c r="D50" s="3" t="s">
        <v>450</v>
      </c>
      <c r="E50" s="17" t="str">
        <f ca="1">IF(xxx_Jars25[[#This Row],[Jar Type]]="", "", TEXT(_xlfn.XLOOKUP(xxx_Jars25[[#This Row],[Jar Type]], Containers!A:A, Containers!C:C), "General"))</f>
        <v>1892.7</v>
      </c>
      <c r="F50" s="19" t="s">
        <v>6</v>
      </c>
      <c r="G50" s="19" t="s">
        <v>520</v>
      </c>
      <c r="H50" s="23" t="s">
        <v>452</v>
      </c>
      <c r="I50" s="20" t="str" cm="1">
        <f t="array" aca="1" ref="I5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0" s="20" t="str" cm="1">
        <f t="array" aca="1" ref="J5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0" s="19" t="s">
        <v>375</v>
      </c>
      <c r="L50" s="17" t="s">
        <v>362</v>
      </c>
      <c r="M50" s="17" t="s">
        <v>362</v>
      </c>
      <c r="N50" s="19" t="s">
        <v>82</v>
      </c>
      <c r="P50" s="17">
        <f ca="1">IFERROR(VALUE(xxx_Jars25[[#This Row],[Fertilizer Added (g)]]), 0)</f>
        <v>0</v>
      </c>
      <c r="Q50" t="s">
        <v>8</v>
      </c>
      <c r="T5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50" s="8" t="s">
        <v>44</v>
      </c>
      <c r="X50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50" s="17" t="s">
        <v>369</v>
      </c>
      <c r="Z50" s="17" t="s">
        <v>370</v>
      </c>
    </row>
    <row r="51" spans="1:26">
      <c r="A51" s="10" t="s">
        <v>522</v>
      </c>
      <c r="B51" s="17" t="s">
        <v>42</v>
      </c>
      <c r="C51" s="8" t="s">
        <v>317</v>
      </c>
      <c r="D51" s="17" t="s">
        <v>473</v>
      </c>
      <c r="E51" s="17" t="str">
        <f ca="1">IF(xxx_Jars25[[#This Row],[Jar Type]]="", "", TEXT(_xlfn.XLOOKUP(xxx_Jars25[[#This Row],[Jar Type]], Containers!A:A, Containers!C:C), "General"))</f>
        <v>371</v>
      </c>
      <c r="F51" s="19" t="s">
        <v>6</v>
      </c>
      <c r="G51" s="19" t="s">
        <v>520</v>
      </c>
      <c r="H51" s="23" t="s">
        <v>452</v>
      </c>
      <c r="I51" s="20" t="str" cm="1">
        <f t="array" aca="1" ref="I5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1" s="20" t="str" cm="1">
        <f t="array" aca="1" ref="J5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1" s="19" t="s">
        <v>474</v>
      </c>
      <c r="L51" s="17" t="s">
        <v>362</v>
      </c>
      <c r="M51" s="17" t="s">
        <v>362</v>
      </c>
      <c r="N51" s="19" t="s">
        <v>82</v>
      </c>
      <c r="O51" s="19" t="s">
        <v>523</v>
      </c>
      <c r="P51" s="19">
        <f ca="1">IFERROR(VALUE(xxx_Jars25[[#This Row],[Fertilizer Added (g)]]), 0)</f>
        <v>0.28000000000000003</v>
      </c>
      <c r="Q51" t="s">
        <v>8</v>
      </c>
      <c r="R51" s="19" t="s">
        <v>184</v>
      </c>
      <c r="S51" s="19" t="s">
        <v>524</v>
      </c>
      <c r="T5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1" s="8" t="s">
        <v>44</v>
      </c>
      <c r="X51" s="17">
        <f ca="1">IFERROR(SUM(_xlfn.SINGLE(xxx_Jars25[Fertilizer Added]), _xlfn.XLOOKUP(_xlfn.SINGLE(xxx_Jars25[Jar]), JarsPlusPlus_2[Jar], JarsPlusPlus_2[C:Total Fertilizer Added (g)])), _xlfn.SINGLE(xxx_Jars25[Fertilizer Added]))</f>
        <v>0.28000000000000003</v>
      </c>
      <c r="Y51" s="20" t="s">
        <v>509</v>
      </c>
      <c r="Z51" s="17" t="s">
        <v>370</v>
      </c>
    </row>
    <row r="52" spans="1:26">
      <c r="A52" s="10" t="s">
        <v>525</v>
      </c>
      <c r="B52" s="17" t="s">
        <v>54</v>
      </c>
      <c r="C52" s="8" t="s">
        <v>317</v>
      </c>
      <c r="D52" s="3" t="s">
        <v>473</v>
      </c>
      <c r="E52" s="17" t="str">
        <f ca="1">IF(xxx_Jars25[[#This Row],[Jar Type]]="", "", TEXT(_xlfn.XLOOKUP(xxx_Jars25[[#This Row],[Jar Type]], Containers!A:A, Containers!C:C), "General"))</f>
        <v>361</v>
      </c>
      <c r="F52" s="19" t="s">
        <v>6</v>
      </c>
      <c r="G52" s="19" t="s">
        <v>520</v>
      </c>
      <c r="H52" s="23" t="s">
        <v>452</v>
      </c>
      <c r="I52" s="20" t="str" cm="1">
        <f t="array" aca="1" ref="I5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2" s="20" t="str" cm="1">
        <f t="array" aca="1" ref="J5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2" s="19" t="s">
        <v>526</v>
      </c>
      <c r="L52" s="17" t="s">
        <v>362</v>
      </c>
      <c r="M52" s="17" t="s">
        <v>362</v>
      </c>
      <c r="N52" s="19" t="s">
        <v>82</v>
      </c>
      <c r="O52" s="19" t="s">
        <v>527</v>
      </c>
      <c r="P52" s="19">
        <f ca="1">IFERROR(VALUE(xxx_Jars25[[#This Row],[Fertilizer Added (g)]]), 0)</f>
        <v>0.3</v>
      </c>
      <c r="Q52" t="s">
        <v>8</v>
      </c>
      <c r="R52" s="19" t="s">
        <v>185</v>
      </c>
      <c r="S52" s="19" t="s">
        <v>528</v>
      </c>
      <c r="T5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2" s="8" t="s">
        <v>44</v>
      </c>
      <c r="X52" s="17">
        <f ca="1">IFERROR(SUM(_xlfn.SINGLE(xxx_Jars25[Fertilizer Added]), _xlfn.XLOOKUP(_xlfn.SINGLE(xxx_Jars25[Jar]), JarsPlusPlus_2[Jar], JarsPlusPlus_2[C:Total Fertilizer Added (g)])), _xlfn.SINGLE(xxx_Jars25[Fertilizer Added]))</f>
        <v>0.3</v>
      </c>
      <c r="Y52" s="20" t="s">
        <v>509</v>
      </c>
      <c r="Z52" s="17" t="s">
        <v>370</v>
      </c>
    </row>
    <row r="53" spans="1:26">
      <c r="A53" s="10" t="s">
        <v>529</v>
      </c>
      <c r="B53" s="17" t="s">
        <v>48</v>
      </c>
      <c r="C53" s="8" t="s">
        <v>317</v>
      </c>
      <c r="D53" s="3" t="s">
        <v>473</v>
      </c>
      <c r="E53" s="17" t="str">
        <f ca="1">IF(xxx_Jars25[[#This Row],[Jar Type]]="", "", TEXT(_xlfn.XLOOKUP(xxx_Jars25[[#This Row],[Jar Type]], Containers!A:A, Containers!C:C), "General"))</f>
        <v>354</v>
      </c>
      <c r="F53" s="19" t="s">
        <v>6</v>
      </c>
      <c r="G53" s="19" t="s">
        <v>520</v>
      </c>
      <c r="H53" s="23" t="s">
        <v>452</v>
      </c>
      <c r="I53" s="20" t="str" cm="1">
        <f t="array" aca="1" ref="I5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3" s="20" t="str" cm="1">
        <f t="array" aca="1" ref="J5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3" s="19" t="s">
        <v>60</v>
      </c>
      <c r="L53" s="17" t="s">
        <v>362</v>
      </c>
      <c r="M53" s="17" t="s">
        <v>362</v>
      </c>
      <c r="N53" s="19" t="s">
        <v>82</v>
      </c>
      <c r="O53" s="19" t="s">
        <v>530</v>
      </c>
      <c r="P53" s="19">
        <f ca="1">IFERROR(VALUE(xxx_Jars25[[#This Row],[Fertilizer Added (g)]]), 0)</f>
        <v>0.24</v>
      </c>
      <c r="Q53" t="s">
        <v>8</v>
      </c>
      <c r="R53" s="19" t="s">
        <v>531</v>
      </c>
      <c r="S53" s="19" t="s">
        <v>532</v>
      </c>
      <c r="T5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3" s="8" t="s">
        <v>44</v>
      </c>
      <c r="X53" s="17">
        <f ca="1">IFERROR(SUM(_xlfn.SINGLE(xxx_Jars25[Fertilizer Added]), _xlfn.XLOOKUP(_xlfn.SINGLE(xxx_Jars25[Jar]), JarsPlusPlus_2[Jar], JarsPlusPlus_2[C:Total Fertilizer Added (g)])), _xlfn.SINGLE(xxx_Jars25[Fertilizer Added]))</f>
        <v>0.24</v>
      </c>
      <c r="Y53" s="20" t="s">
        <v>509</v>
      </c>
      <c r="Z53" s="17" t="s">
        <v>370</v>
      </c>
    </row>
    <row r="54" spans="1:26">
      <c r="E54" s="17" t="str">
        <f ca="1">IF(xxx_Jars25[[#This Row],[Jar Type]]="", "", TEXT(_xlfn.XLOOKUP(xxx_Jars25[[#This Row],[Jar Type]], Containers!A:A, Containers!C:C), "General"))</f>
        <v/>
      </c>
      <c r="H54" s="23"/>
      <c r="I54" s="20" t="str" cm="1">
        <f t="array" aca="1" ref="I5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4" s="20" t="str" cm="1">
        <f t="array" aca="1" ref="J5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4" s="17">
        <f ca="1">IFERROR(VALUE(xxx_Jars25[[#This Row],[Fertilizer Added (g)]]), 0)</f>
        <v>0</v>
      </c>
      <c r="T5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4" s="17" t="str" cm="1">
        <f t="array" aca="1" ref="W54" ca="1">_xlfn.LET(
    _xlpm.water, xxx_Jars25[[#This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5" spans="1:26">
      <c r="E55" s="17" t="str">
        <f ca="1">IF(xxx_Jars25[[#This Row],[Jar Type]]="", "", TEXT(_xlfn.XLOOKUP(xxx_Jars25[[#This Row],[Jar Type]], Containers!A:A, Containers!C:C), "General"))</f>
        <v/>
      </c>
      <c r="H55" s="23"/>
      <c r="I55" s="20" t="str" cm="1">
        <f t="array" aca="1" ref="I5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5" s="20" t="str" cm="1">
        <f t="array" aca="1" ref="J5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5" s="17">
        <f ca="1">IFERROR(VALUE(xxx_Jars25[[#This Row],[Fertilizer Added (g)]]), 0)</f>
        <v>0</v>
      </c>
      <c r="T5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5" s="17" t="str" cm="1">
        <f t="array" aca="1" ref="W55" ca="1">_xlfn.LET(
    _xlpm.water, xxx_Jars25[[#This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6" spans="1:26">
      <c r="E56" s="17" t="str">
        <f ca="1">IF(xxx_Jars25[[#This Row],[Jar Type]]="", "", TEXT(_xlfn.XLOOKUP(xxx_Jars25[[#This Row],[Jar Type]], Containers!A:A, Containers!C:C), "General"))</f>
        <v/>
      </c>
      <c r="H56" s="23"/>
      <c r="I56" s="20" t="str" cm="1">
        <f t="array" aca="1" ref="I5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6" s="20" t="str" cm="1">
        <f t="array" aca="1" ref="J5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6" s="17">
        <f ca="1">IFERROR(VALUE(xxx_Jars25[[#This Row],[Fertilizer Added (g)]]), 0)</f>
        <v>0</v>
      </c>
      <c r="T5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6" s="17" t="str" cm="1">
        <f t="array" aca="1" ref="W56" ca="1">_xlfn.LET(
    _xlpm.water, xxx_Jars25[[#This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7" spans="1:26">
      <c r="E57" s="17" t="str">
        <f ca="1">IF(xxx_Jars25[[#This Row],[Jar Type]]="", "", TEXT(_xlfn.XLOOKUP(xxx_Jars25[[#This Row],[Jar Type]], Containers!A:A, Containers!C:C), "General"))</f>
        <v/>
      </c>
      <c r="H57" s="23"/>
      <c r="I57" s="20" t="str" cm="1">
        <f t="array" aca="1" ref="I5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7" s="20" t="str" cm="1">
        <f t="array" aca="1" ref="J5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7" s="17">
        <f ca="1">IFERROR(VALUE(xxx_Jars25[[#This Row],[Fertilizer Added (g)]]), 0)</f>
        <v>0</v>
      </c>
      <c r="T5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7" s="17" t="str" cm="1">
        <f t="array" aca="1" ref="W57" ca="1">_xlfn.LET(
    _xlpm.water, xxx_Jars25[[#This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8" spans="1:26">
      <c r="E58" s="17" t="str">
        <f ca="1">IF(xxx_Jars25[[#This Row],[Jar Type]]="", "", TEXT(_xlfn.XLOOKUP(xxx_Jars25[[#This Row],[Jar Type]], Containers!A:A, Containers!C:C), "General"))</f>
        <v/>
      </c>
      <c r="H58" s="23"/>
      <c r="I58" s="20" t="str" cm="1">
        <f t="array" aca="1" ref="I5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8" s="20" t="str" cm="1">
        <f t="array" aca="1" ref="J5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8" s="17">
        <f ca="1">IFERROR(VALUE(xxx_Jars25[[#This Row],[Fertilizer Added (g)]]), 0)</f>
        <v>0</v>
      </c>
      <c r="T5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8" s="17" t="str" cm="1">
        <f t="array" aca="1" ref="W58" ca="1">_xlfn.LET(
    _xlpm.water, xxx_Jars25[[#This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9" spans="1:26">
      <c r="E59" s="17" t="str">
        <f ca="1">IF(xxx_Jars25[[#This Row],[Jar Type]]="", "", TEXT(_xlfn.XLOOKUP(xxx_Jars25[[#This Row],[Jar Type]], Containers!A:A, Containers!C:C), "General"))</f>
        <v/>
      </c>
      <c r="H59" s="23"/>
      <c r="I59" s="20" t="str" cm="1">
        <f t="array" aca="1" ref="I5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9" s="20" t="str" cm="1">
        <f t="array" aca="1" ref="J5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9" s="17">
        <f ca="1">IFERROR(VALUE(xxx_Jars25[[#This Row],[Fertilizer Added (g)]]), 0)</f>
        <v>0</v>
      </c>
      <c r="T5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9" s="17" t="str" cm="1">
        <f t="array" aca="1" ref="W59" ca="1">_xlfn.LET(
    _xlpm.water, xxx_Jars25[[#This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60" spans="1:26">
      <c r="E60" s="17" t="str">
        <f ca="1">IF(xxx_Jars25[[#This Row],[Jar Type]]="", "", TEXT(_xlfn.XLOOKUP(xxx_Jars25[[#This Row],[Jar Type]], Containers!A:A, Containers!C:C), "General"))</f>
        <v/>
      </c>
      <c r="H60" s="23"/>
      <c r="I60" s="20" t="str" cm="1">
        <f t="array" aca="1" ref="I6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60" s="20" t="str" cm="1">
        <f t="array" aca="1" ref="J6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60" s="17">
        <f ca="1">IFERROR(VALUE(xxx_Jars25[[#This Row],[Fertilizer Added (g)]]), 0)</f>
        <v>0</v>
      </c>
      <c r="T6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60" s="17" t="str" cm="1">
        <f t="array" aca="1" ref="W60" ca="1">_xlfn.LET(
    _xlpm.water, xxx_Jars25[[#This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</sheetData>
  <conditionalFormatting sqref="U11:X27">
    <cfRule type="expression" dxfId="204" priority="3">
      <formula>AND($S11="",$O11&lt;&gt;"")</formula>
    </cfRule>
  </conditionalFormatting>
  <conditionalFormatting sqref="A11:AF999999">
    <cfRule type="expression" dxfId="203" priority="2">
      <formula>AND(A11="", $A11&lt;&gt;"", A$10&lt;&gt;"")</formula>
    </cfRule>
  </conditionalFormatting>
  <conditionalFormatting sqref="W11:X27">
    <cfRule type="expression" dxfId="202" priority="1">
      <formula>AND($S11="",$O11&lt;&gt;"")</formula>
    </cfRule>
  </conditionalFormatting>
  <conditionalFormatting sqref="U11:X27">
    <cfRule type="expression" dxfId="201" priority="4">
      <formula>AND($O11="",$A11&lt;&gt;"")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6CBD-73DB-4AD5-A97C-67B9F776D4D9}">
  <dimension ref="A1:AA60"/>
  <sheetViews>
    <sheetView workbookViewId="0">
      <pane xSplit="2" topLeftCell="F4" activePane="topRight" state="frozen"/>
      <selection pane="topRight" activeCell="A12" sqref="A12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324</v>
      </c>
      <c r="S1" s="17" t="s">
        <v>325</v>
      </c>
      <c r="U1" s="17" t="s">
        <v>326</v>
      </c>
      <c r="V1" s="3" t="s">
        <v>326</v>
      </c>
    </row>
    <row r="9" spans="1:27">
      <c r="E9" s="19" t="s">
        <v>327</v>
      </c>
      <c r="F9" s="17" t="s">
        <v>182</v>
      </c>
      <c r="I9" s="19" t="s">
        <v>328</v>
      </c>
      <c r="J9" s="19" t="s">
        <v>329</v>
      </c>
      <c r="K9" s="17" t="s">
        <v>182</v>
      </c>
      <c r="T9" s="19" t="s">
        <v>330</v>
      </c>
      <c r="U9" s="17" t="s">
        <v>182</v>
      </c>
      <c r="W9" s="17" t="s">
        <v>182</v>
      </c>
    </row>
    <row r="10" spans="1:27">
      <c r="A10" t="s">
        <v>33</v>
      </c>
      <c r="B10" s="17" t="s">
        <v>331</v>
      </c>
      <c r="C10" s="17" t="s">
        <v>332</v>
      </c>
      <c r="D10" s="17" t="s">
        <v>333</v>
      </c>
      <c r="E10" s="17" t="s">
        <v>334</v>
      </c>
      <c r="F10" s="17" t="s">
        <v>335</v>
      </c>
      <c r="G10" s="17" t="s">
        <v>336</v>
      </c>
      <c r="H10" s="17" t="s">
        <v>337</v>
      </c>
      <c r="I10" s="17" t="s">
        <v>338</v>
      </c>
      <c r="J10" s="17" t="s">
        <v>339</v>
      </c>
      <c r="K10" s="17" t="s">
        <v>188</v>
      </c>
      <c r="L10" s="17" t="s">
        <v>340</v>
      </c>
      <c r="M10" s="17" t="s">
        <v>341</v>
      </c>
      <c r="N10" s="17" t="s">
        <v>61</v>
      </c>
      <c r="O10" s="17" t="s">
        <v>342</v>
      </c>
      <c r="P10" s="17" t="s">
        <v>533</v>
      </c>
      <c r="Q10" s="17" t="s">
        <v>343</v>
      </c>
      <c r="R10" s="17" t="s">
        <v>344</v>
      </c>
      <c r="S10" s="17" t="s">
        <v>345</v>
      </c>
      <c r="T10" s="17" t="s">
        <v>346</v>
      </c>
      <c r="U10" s="17" t="s">
        <v>352</v>
      </c>
      <c r="V10" s="17" t="s">
        <v>534</v>
      </c>
      <c r="W10" s="17" t="s">
        <v>535</v>
      </c>
      <c r="X10" s="17" t="s">
        <v>536</v>
      </c>
      <c r="Y10" s="17" t="s">
        <v>354</v>
      </c>
      <c r="Z10" s="17" t="s">
        <v>355</v>
      </c>
      <c r="AA10" s="17" t="s">
        <v>356</v>
      </c>
    </row>
    <row r="11" spans="1:27">
      <c r="A11" s="10" t="s">
        <v>6</v>
      </c>
      <c r="B11" s="19" t="s">
        <v>40</v>
      </c>
      <c r="C11" s="17" t="s">
        <v>357</v>
      </c>
      <c r="D11" s="20" t="s">
        <v>358</v>
      </c>
      <c r="E11" s="21" t="str">
        <f ca="1">IF(Jars[[#This Row],[Jar Type]]="", "", TEXT(_xlfn.XLOOKUP(Jars[[#This Row],[Jar Type]], Containers!A:A, Containers!C:C), "General"))</f>
        <v>1892.7</v>
      </c>
      <c r="F11" s="19" t="s">
        <v>44</v>
      </c>
      <c r="G11" s="19" t="s">
        <v>359</v>
      </c>
      <c r="H11" s="19" t="s">
        <v>360</v>
      </c>
      <c r="I11" s="19" t="str" cm="1">
        <f t="array" aca="1" ref="I1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1" s="19" t="str" cm="1">
        <f t="array" aca="1" ref="J1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1" s="17" t="s">
        <v>361</v>
      </c>
      <c r="L11" s="17" t="s">
        <v>362</v>
      </c>
      <c r="M11" s="17" t="s">
        <v>362</v>
      </c>
      <c r="N11" s="19" t="s">
        <v>82</v>
      </c>
      <c r="O11" s="17" t="s">
        <v>363</v>
      </c>
      <c r="P11" s="17">
        <f ca="1">IFERROR(VALUE(Jars[[#This Row],[Fertilizer Added (g)]]), 0)</f>
        <v>1.48</v>
      </c>
      <c r="Q11" t="s">
        <v>8</v>
      </c>
      <c r="R11" s="17" t="s">
        <v>364</v>
      </c>
      <c r="S11" s="17" t="s">
        <v>365</v>
      </c>
      <c r="T1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1" s="1" t="s">
        <v>367</v>
      </c>
      <c r="V11" s="1" t="s">
        <v>368</v>
      </c>
      <c r="W11" s="17" t="s">
        <v>362</v>
      </c>
      <c r="X11" s="17">
        <f ca="1">IFERROR(SUM(_xlfn.SINGLE(Jars[Fertilizer Added]), _xlfn.XLOOKUP(_xlfn.SINGLE(Jars[Jar]), JarsPlusPlus_2[Jar], JarsPlusPlus_2[C:Total Fertilizer Added (g)])), _xlfn.SINGLE(Jars[Fertilizer Added]))</f>
        <v>1.48</v>
      </c>
      <c r="Y11" s="17" t="s">
        <v>369</v>
      </c>
      <c r="Z11" s="17" t="s">
        <v>370</v>
      </c>
    </row>
    <row r="12" spans="1:27">
      <c r="A12" t="s">
        <v>10</v>
      </c>
      <c r="B12" s="19" t="s">
        <v>40</v>
      </c>
      <c r="C12" s="17" t="s">
        <v>371</v>
      </c>
      <c r="D12" s="20" t="s">
        <v>358</v>
      </c>
      <c r="E12" s="21" t="str">
        <f ca="1">IF(Jars[[#This Row],[Jar Type]]="", "", TEXT(_xlfn.XLOOKUP(Jars[[#This Row],[Jar Type]], Containers!A:A, Containers!C:C), "General"))</f>
        <v>1892.7</v>
      </c>
      <c r="F12" s="19" t="s">
        <v>44</v>
      </c>
      <c r="G12" s="19" t="s">
        <v>359</v>
      </c>
      <c r="H12" s="20" t="s">
        <v>360</v>
      </c>
      <c r="I12" s="20" t="str" cm="1">
        <f t="array" aca="1" ref="I1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2" s="20" t="str" cm="1">
        <f t="array" aca="1" ref="J1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2" s="17" t="s">
        <v>361</v>
      </c>
      <c r="L12" s="17" t="s">
        <v>362</v>
      </c>
      <c r="M12" s="17" t="s">
        <v>362</v>
      </c>
      <c r="N12" s="19" t="s">
        <v>82</v>
      </c>
      <c r="O12" s="17" t="s">
        <v>363</v>
      </c>
      <c r="P12" s="17">
        <f ca="1">IFERROR(VALUE(Jars[[#This Row],[Fertilizer Added (g)]]), 0)</f>
        <v>1.48</v>
      </c>
      <c r="Q12" t="s">
        <v>8</v>
      </c>
      <c r="R12" s="17" t="s">
        <v>364</v>
      </c>
      <c r="S12" s="17" t="s">
        <v>372</v>
      </c>
      <c r="T1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2" s="1" t="s">
        <v>367</v>
      </c>
      <c r="V12" s="1" t="s">
        <v>373</v>
      </c>
      <c r="W12" s="17" t="s">
        <v>362</v>
      </c>
      <c r="X12" s="17">
        <f ca="1">IFERROR(SUM(_xlfn.SINGLE(Jars[Fertilizer Added]), _xlfn.XLOOKUP(_xlfn.SINGLE(Jars[Jar]), JarsPlusPlus_2[Jar], JarsPlusPlus_2[C:Total Fertilizer Added (g)])), _xlfn.SINGLE(Jars[Fertilizer Added]))</f>
        <v>1.48</v>
      </c>
      <c r="Y12" s="17" t="s">
        <v>369</v>
      </c>
      <c r="Z12" s="20" t="s">
        <v>370</v>
      </c>
      <c r="AA12" s="20"/>
    </row>
    <row r="13" spans="1:27">
      <c r="A13" t="s">
        <v>14</v>
      </c>
      <c r="B13" s="19" t="s">
        <v>40</v>
      </c>
      <c r="C13" s="17" t="s">
        <v>374</v>
      </c>
      <c r="D13" s="20" t="s">
        <v>358</v>
      </c>
      <c r="E13" s="21" t="str">
        <f ca="1">IF(Jars[[#This Row],[Jar Type]]="", "", TEXT(_xlfn.XLOOKUP(Jars[[#This Row],[Jar Type]], Containers!A:A, Containers!C:C), "General"))</f>
        <v>1892.7</v>
      </c>
      <c r="F13" s="19" t="s">
        <v>44</v>
      </c>
      <c r="G13" s="19" t="s">
        <v>359</v>
      </c>
      <c r="H13" s="20" t="s">
        <v>360</v>
      </c>
      <c r="I13" s="20" t="str" cm="1">
        <f t="array" aca="1" ref="I1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3" s="20" t="str" cm="1">
        <f t="array" aca="1" ref="J1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3" s="17" t="s">
        <v>375</v>
      </c>
      <c r="L13" s="17" t="s">
        <v>362</v>
      </c>
      <c r="M13" s="17" t="s">
        <v>362</v>
      </c>
      <c r="N13" s="19" t="s">
        <v>82</v>
      </c>
      <c r="O13" s="17" t="s">
        <v>376</v>
      </c>
      <c r="P13" s="17">
        <f ca="1">IFERROR(VALUE(Jars[[#This Row],[Fertilizer Added (g)]]), 0)</f>
        <v>1.1100000000000001</v>
      </c>
      <c r="Q13" t="s">
        <v>8</v>
      </c>
      <c r="R13" s="17" t="s">
        <v>377</v>
      </c>
      <c r="S13" s="17" t="s">
        <v>378</v>
      </c>
      <c r="T1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3" s="1" t="s">
        <v>379</v>
      </c>
      <c r="V13" s="1" t="s">
        <v>380</v>
      </c>
      <c r="W13" s="17" t="s">
        <v>362</v>
      </c>
      <c r="X13" s="17">
        <f ca="1">IFERROR(SUM(_xlfn.SINGLE(Jars[Fertilizer Added]), _xlfn.XLOOKUP(_xlfn.SINGLE(Jars[Jar]), JarsPlusPlus_2[Jar], JarsPlusPlus_2[C:Total Fertilizer Added (g)])), _xlfn.SINGLE(Jars[Fertilizer Added]))</f>
        <v>1.1100000000000001</v>
      </c>
      <c r="Y13" s="17" t="s">
        <v>369</v>
      </c>
      <c r="Z13" s="17" t="s">
        <v>370</v>
      </c>
      <c r="AA13" s="20"/>
    </row>
    <row r="14" spans="1:27">
      <c r="A14" t="s">
        <v>381</v>
      </c>
      <c r="B14" s="19" t="s">
        <v>40</v>
      </c>
      <c r="C14" s="17" t="s">
        <v>382</v>
      </c>
      <c r="D14" s="20" t="s">
        <v>358</v>
      </c>
      <c r="E14" s="21" t="str">
        <f ca="1">IF(Jars[[#This Row],[Jar Type]]="", "", TEXT(_xlfn.XLOOKUP(Jars[[#This Row],[Jar Type]], Containers!A:A, Containers!C:C), "General"))</f>
        <v>1892.7</v>
      </c>
      <c r="F14" s="19" t="s">
        <v>44</v>
      </c>
      <c r="G14" s="19" t="s">
        <v>359</v>
      </c>
      <c r="H14" s="20" t="s">
        <v>360</v>
      </c>
      <c r="I14" s="20" t="str" cm="1">
        <f t="array" aca="1" ref="I1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4" s="20" t="str" cm="1">
        <f t="array" aca="1" ref="J1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4" s="17" t="s">
        <v>375</v>
      </c>
      <c r="L14" s="17" t="s">
        <v>362</v>
      </c>
      <c r="M14" s="17" t="s">
        <v>362</v>
      </c>
      <c r="N14" s="19" t="s">
        <v>82</v>
      </c>
      <c r="O14" s="17" t="s">
        <v>383</v>
      </c>
      <c r="P14" s="17">
        <f ca="1">IFERROR(VALUE(Jars[[#This Row],[Fertilizer Added (g)]]), 0)</f>
        <v>1.44</v>
      </c>
      <c r="Q14" t="s">
        <v>8</v>
      </c>
      <c r="R14" s="17" t="s">
        <v>364</v>
      </c>
      <c r="S14" s="17" t="s">
        <v>384</v>
      </c>
      <c r="T1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4" s="1" t="s">
        <v>379</v>
      </c>
      <c r="V14" s="1" t="s">
        <v>43</v>
      </c>
      <c r="W14" s="17" t="s">
        <v>362</v>
      </c>
      <c r="X14" s="17">
        <f ca="1">IFERROR(SUM(_xlfn.SINGLE(Jars[Fertilizer Added]), _xlfn.XLOOKUP(_xlfn.SINGLE(Jars[Jar]), JarsPlusPlus_2[Jar], JarsPlusPlus_2[C:Total Fertilizer Added (g)])), _xlfn.SINGLE(Jars[Fertilizer Added]))</f>
        <v>1.44</v>
      </c>
      <c r="Y14" s="17" t="s">
        <v>369</v>
      </c>
      <c r="Z14" s="17" t="s">
        <v>370</v>
      </c>
      <c r="AA14" s="20"/>
    </row>
    <row r="15" spans="1:27">
      <c r="A15" t="s">
        <v>319</v>
      </c>
      <c r="B15" s="19" t="s">
        <v>40</v>
      </c>
      <c r="C15" s="17" t="s">
        <v>385</v>
      </c>
      <c r="D15" s="20" t="s">
        <v>358</v>
      </c>
      <c r="E15" s="21" t="str">
        <f ca="1">IF(Jars[[#This Row],[Jar Type]]="", "", TEXT(_xlfn.XLOOKUP(Jars[[#This Row],[Jar Type]], Containers!A:A, Containers!C:C), "General"))</f>
        <v>1892.7</v>
      </c>
      <c r="F15" s="19" t="s">
        <v>44</v>
      </c>
      <c r="G15" s="19" t="s">
        <v>386</v>
      </c>
      <c r="H15" s="20" t="s">
        <v>360</v>
      </c>
      <c r="I15" s="20" t="str" cm="1">
        <f t="array" aca="1" ref="I1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5" s="20" t="str" cm="1">
        <f t="array" aca="1" ref="J1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5" s="17" t="s">
        <v>375</v>
      </c>
      <c r="L15" s="17" t="s">
        <v>362</v>
      </c>
      <c r="M15" s="17" t="s">
        <v>362</v>
      </c>
      <c r="N15" s="19" t="s">
        <v>82</v>
      </c>
      <c r="O15" s="17" t="s">
        <v>387</v>
      </c>
      <c r="P15" s="17">
        <f ca="1">IFERROR(VALUE(Jars[[#This Row],[Fertilizer Added (g)]]), 0)</f>
        <v>1.39</v>
      </c>
      <c r="Q15" t="s">
        <v>8</v>
      </c>
      <c r="R15" s="17" t="s">
        <v>364</v>
      </c>
      <c r="S15" s="17" t="s">
        <v>388</v>
      </c>
      <c r="T1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5" s="1" t="s">
        <v>377</v>
      </c>
      <c r="V15" s="2" t="s">
        <v>389</v>
      </c>
      <c r="W15" s="17" t="s">
        <v>362</v>
      </c>
      <c r="X15" s="17">
        <f ca="1">IFERROR(SUM(_xlfn.SINGLE(Jars[Fertilizer Added]), _xlfn.XLOOKUP(_xlfn.SINGLE(Jars[Jar]), JarsPlusPlus_2[Jar], JarsPlusPlus_2[C:Total Fertilizer Added (g)])), _xlfn.SINGLE(Jars[Fertilizer Added]))</f>
        <v>1.39</v>
      </c>
      <c r="Y15" s="17" t="s">
        <v>369</v>
      </c>
      <c r="Z15" s="17" t="s">
        <v>370</v>
      </c>
    </row>
    <row r="16" spans="1:27">
      <c r="A16" t="s">
        <v>390</v>
      </c>
      <c r="B16" s="19" t="s">
        <v>40</v>
      </c>
      <c r="C16" s="17" t="s">
        <v>391</v>
      </c>
      <c r="D16" s="20" t="s">
        <v>358</v>
      </c>
      <c r="E16" s="21" t="str">
        <f ca="1">IF(Jars[[#This Row],[Jar Type]]="", "", TEXT(_xlfn.XLOOKUP(Jars[[#This Row],[Jar Type]], Containers!A:A, Containers!C:C), "General"))</f>
        <v>1892.7</v>
      </c>
      <c r="F16" s="19" t="s">
        <v>44</v>
      </c>
      <c r="G16" s="19" t="s">
        <v>392</v>
      </c>
      <c r="H16" s="20" t="s">
        <v>360</v>
      </c>
      <c r="I16" s="20" t="str" cm="1">
        <f t="array" aca="1" ref="I1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6" s="20" t="str" cm="1">
        <f t="array" aca="1" ref="J1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6" s="17" t="s">
        <v>361</v>
      </c>
      <c r="L16" s="17" t="s">
        <v>362</v>
      </c>
      <c r="M16" s="17" t="s">
        <v>362</v>
      </c>
      <c r="N16" s="19" t="s">
        <v>82</v>
      </c>
      <c r="O16" s="17" t="s">
        <v>393</v>
      </c>
      <c r="P16" s="17">
        <f ca="1">IFERROR(VALUE(Jars[[#This Row],[Fertilizer Added (g)]]), 0)</f>
        <v>1.4</v>
      </c>
      <c r="Q16" t="s">
        <v>8</v>
      </c>
      <c r="R16" s="17" t="s">
        <v>377</v>
      </c>
      <c r="S16" s="17" t="s">
        <v>394</v>
      </c>
      <c r="T16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6" s="1" t="s">
        <v>367</v>
      </c>
      <c r="V16" s="2" t="s">
        <v>395</v>
      </c>
      <c r="W16" s="17" t="s">
        <v>362</v>
      </c>
      <c r="X16" s="17">
        <f ca="1">IFERROR(SUM(_xlfn.SINGLE(Jars[Fertilizer Added]), _xlfn.XLOOKUP(_xlfn.SINGLE(Jars[Jar]), JarsPlusPlus_2[Jar], JarsPlusPlus_2[C:Total Fertilizer Added (g)])), _xlfn.SINGLE(Jars[Fertilizer Added]))</f>
        <v>1.4</v>
      </c>
      <c r="Y16" s="17" t="s">
        <v>369</v>
      </c>
      <c r="Z16" s="17" t="s">
        <v>370</v>
      </c>
      <c r="AA16" s="20"/>
    </row>
    <row r="17" spans="1:27">
      <c r="A17" t="s">
        <v>396</v>
      </c>
      <c r="B17" s="19" t="s">
        <v>40</v>
      </c>
      <c r="C17" s="17" t="s">
        <v>397</v>
      </c>
      <c r="D17" s="20" t="s">
        <v>358</v>
      </c>
      <c r="E17" s="21" t="str">
        <f ca="1">IF(Jars[[#This Row],[Jar Type]]="", "", TEXT(_xlfn.XLOOKUP(Jars[[#This Row],[Jar Type]], Containers!A:A, Containers!C:C), "General"))</f>
        <v>1892.7</v>
      </c>
      <c r="F17" s="19" t="s">
        <v>44</v>
      </c>
      <c r="G17" s="19" t="s">
        <v>392</v>
      </c>
      <c r="H17" s="20" t="s">
        <v>360</v>
      </c>
      <c r="I17" s="20" t="str" cm="1">
        <f t="array" aca="1" ref="I1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7" s="20" t="str" cm="1">
        <f t="array" aca="1" ref="J1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7" s="17" t="s">
        <v>361</v>
      </c>
      <c r="L17" s="17" t="s">
        <v>362</v>
      </c>
      <c r="M17" s="17" t="s">
        <v>362</v>
      </c>
      <c r="N17" s="19" t="s">
        <v>82</v>
      </c>
      <c r="O17" s="17" t="s">
        <v>398</v>
      </c>
      <c r="P17" s="17">
        <f ca="1">IFERROR(VALUE(Jars[[#This Row],[Fertilizer Added (g)]]), 0)</f>
        <v>1.43</v>
      </c>
      <c r="Q17" t="s">
        <v>8</v>
      </c>
      <c r="R17" s="19" t="s">
        <v>364</v>
      </c>
      <c r="S17" s="17" t="s">
        <v>399</v>
      </c>
      <c r="T17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7" s="1" t="s">
        <v>367</v>
      </c>
      <c r="V17" s="2" t="s">
        <v>400</v>
      </c>
      <c r="W17" s="17" t="s">
        <v>362</v>
      </c>
      <c r="X17" s="17">
        <f ca="1">IFERROR(SUM(_xlfn.SINGLE(Jars[Fertilizer Added]), _xlfn.XLOOKUP(_xlfn.SINGLE(Jars[Jar]), JarsPlusPlus_2[Jar], JarsPlusPlus_2[C:Total Fertilizer Added (g)])), _xlfn.SINGLE(Jars[Fertilizer Added]))</f>
        <v>1.43</v>
      </c>
      <c r="Y17" s="17" t="s">
        <v>369</v>
      </c>
      <c r="Z17" s="17" t="s">
        <v>370</v>
      </c>
      <c r="AA17" s="20"/>
    </row>
    <row r="18" spans="1:27">
      <c r="A18" t="s">
        <v>401</v>
      </c>
      <c r="B18" s="19" t="s">
        <v>40</v>
      </c>
      <c r="C18" s="17" t="s">
        <v>402</v>
      </c>
      <c r="D18" s="20" t="s">
        <v>358</v>
      </c>
      <c r="E18" s="21" t="str">
        <f ca="1">IF(Jars[[#This Row],[Jar Type]]="", "", TEXT(_xlfn.XLOOKUP(Jars[[#This Row],[Jar Type]], Containers!A:A, Containers!C:C), "General"))</f>
        <v>1892.7</v>
      </c>
      <c r="F18" s="19" t="s">
        <v>44</v>
      </c>
      <c r="G18" s="19" t="s">
        <v>392</v>
      </c>
      <c r="H18" s="20" t="s">
        <v>360</v>
      </c>
      <c r="I18" s="20" t="str" cm="1">
        <f t="array" aca="1" ref="I1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8" s="20" t="str" cm="1">
        <f t="array" aca="1" ref="J1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8" s="17" t="s">
        <v>361</v>
      </c>
      <c r="L18" s="17" t="s">
        <v>362</v>
      </c>
      <c r="M18" s="17" t="s">
        <v>362</v>
      </c>
      <c r="N18" s="19" t="s">
        <v>82</v>
      </c>
      <c r="O18" s="17" t="s">
        <v>403</v>
      </c>
      <c r="P18" s="17">
        <f ca="1">IFERROR(VALUE(Jars[[#This Row],[Fertilizer Added (g)]]), 0)</f>
        <v>1.37</v>
      </c>
      <c r="Q18" t="s">
        <v>8</v>
      </c>
      <c r="R18" s="17" t="s">
        <v>364</v>
      </c>
      <c r="S18" s="17" t="s">
        <v>404</v>
      </c>
      <c r="T18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8" s="1" t="s">
        <v>367</v>
      </c>
      <c r="V18" s="2" t="s">
        <v>405</v>
      </c>
      <c r="W18" s="17" t="s">
        <v>362</v>
      </c>
      <c r="X18" s="17">
        <f ca="1">IFERROR(SUM(_xlfn.SINGLE(Jars[Fertilizer Added]), _xlfn.XLOOKUP(_xlfn.SINGLE(Jars[Jar]), JarsPlusPlus_2[Jar], JarsPlusPlus_2[C:Total Fertilizer Added (g)])), _xlfn.SINGLE(Jars[Fertilizer Added]))</f>
        <v>1.37</v>
      </c>
      <c r="Y18" s="17" t="s">
        <v>369</v>
      </c>
      <c r="Z18" s="17" t="s">
        <v>370</v>
      </c>
      <c r="AA18" s="20"/>
    </row>
    <row r="19" spans="1:27">
      <c r="A19" t="s">
        <v>406</v>
      </c>
      <c r="B19" s="19" t="s">
        <v>40</v>
      </c>
      <c r="C19" s="17" t="s">
        <v>407</v>
      </c>
      <c r="D19" s="20" t="s">
        <v>358</v>
      </c>
      <c r="E19" s="21" t="str">
        <f ca="1">IF(Jars[[#This Row],[Jar Type]]="", "", TEXT(_xlfn.XLOOKUP(Jars[[#This Row],[Jar Type]], Containers!A:A, Containers!C:C), "General"))</f>
        <v>1892.7</v>
      </c>
      <c r="F19" s="19" t="s">
        <v>44</v>
      </c>
      <c r="G19" s="19" t="s">
        <v>392</v>
      </c>
      <c r="H19" s="20" t="s">
        <v>360</v>
      </c>
      <c r="I19" s="20" t="str" cm="1">
        <f t="array" aca="1" ref="I1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9" s="20" t="str" cm="1">
        <f t="array" aca="1" ref="J1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9" s="17" t="s">
        <v>361</v>
      </c>
      <c r="L19" s="17" t="s">
        <v>362</v>
      </c>
      <c r="M19" s="17" t="s">
        <v>362</v>
      </c>
      <c r="N19" s="19" t="s">
        <v>82</v>
      </c>
      <c r="O19" s="17" t="s">
        <v>408</v>
      </c>
      <c r="P19" s="17">
        <f ca="1">IFERROR(VALUE(Jars[[#This Row],[Fertilizer Added (g)]]), 0)</f>
        <v>1.49</v>
      </c>
      <c r="Q19" t="s">
        <v>8</v>
      </c>
      <c r="R19" s="17" t="s">
        <v>367</v>
      </c>
      <c r="S19" s="17" t="s">
        <v>409</v>
      </c>
      <c r="T19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9" s="1" t="s">
        <v>410</v>
      </c>
      <c r="V19" s="2" t="s">
        <v>411</v>
      </c>
      <c r="W19" s="19" t="s">
        <v>6</v>
      </c>
      <c r="X19" s="19">
        <f ca="1">IFERROR(SUM(_xlfn.SINGLE(Jars[Fertilizer Added]), _xlfn.XLOOKUP(_xlfn.SINGLE(Jars[Jar]), JarsPlusPlus_2[Jar], JarsPlusPlus_2[C:Total Fertilizer Added (g)])), _xlfn.SINGLE(Jars[Fertilizer Added]))</f>
        <v>1.49</v>
      </c>
      <c r="Y19" s="17" t="s">
        <v>369</v>
      </c>
      <c r="Z19" s="17" t="s">
        <v>370</v>
      </c>
      <c r="AA19" s="17" t="s">
        <v>412</v>
      </c>
    </row>
    <row r="20" spans="1:27">
      <c r="A20" t="s">
        <v>320</v>
      </c>
      <c r="B20" s="19" t="s">
        <v>40</v>
      </c>
      <c r="C20" s="17" t="s">
        <v>413</v>
      </c>
      <c r="D20" s="20" t="s">
        <v>358</v>
      </c>
      <c r="E20" s="21" t="str">
        <f ca="1">IF(Jars[[#This Row],[Jar Type]]="", "", TEXT(_xlfn.XLOOKUP(Jars[[#This Row],[Jar Type]], Containers!A:A, Containers!C:C), "General"))</f>
        <v>1892.7</v>
      </c>
      <c r="F20" s="19" t="s">
        <v>44</v>
      </c>
      <c r="G20" s="19" t="s">
        <v>414</v>
      </c>
      <c r="H20" s="20" t="s">
        <v>360</v>
      </c>
      <c r="I20" s="20" t="str" cm="1">
        <f t="array" aca="1" ref="I2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0" s="20" t="str" cm="1">
        <f t="array" aca="1" ref="J2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0" s="17" t="s">
        <v>375</v>
      </c>
      <c r="L20" s="17" t="s">
        <v>362</v>
      </c>
      <c r="M20" s="17" t="s">
        <v>362</v>
      </c>
      <c r="N20" s="19" t="s">
        <v>82</v>
      </c>
      <c r="O20" s="17" t="s">
        <v>387</v>
      </c>
      <c r="P20" s="17">
        <f ca="1">IFERROR(VALUE(Jars[[#This Row],[Fertilizer Added (g)]]), 0)</f>
        <v>1.39</v>
      </c>
      <c r="Q20" t="s">
        <v>8</v>
      </c>
      <c r="R20" s="17" t="s">
        <v>379</v>
      </c>
      <c r="S20" s="17" t="s">
        <v>415</v>
      </c>
      <c r="T20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0" s="1" t="s">
        <v>362</v>
      </c>
      <c r="V20" s="3" t="s">
        <v>362</v>
      </c>
      <c r="W20" s="17" t="s">
        <v>362</v>
      </c>
      <c r="X20" s="17">
        <f ca="1">IFERROR(SUM(_xlfn.SINGLE(Jars[Fertilizer Added]), _xlfn.XLOOKUP(_xlfn.SINGLE(Jars[Jar]), JarsPlusPlus_2[Jar], JarsPlusPlus_2[C:Total Fertilizer Added (g)])), _xlfn.SINGLE(Jars[Fertilizer Added]))</f>
        <v>1.39</v>
      </c>
      <c r="Y20" s="17" t="s">
        <v>369</v>
      </c>
      <c r="Z20" s="17" t="s">
        <v>370</v>
      </c>
    </row>
    <row r="21" spans="1:27">
      <c r="A21" t="s">
        <v>416</v>
      </c>
      <c r="B21" s="19" t="s">
        <v>40</v>
      </c>
      <c r="C21" s="17" t="s">
        <v>417</v>
      </c>
      <c r="D21" s="20" t="s">
        <v>358</v>
      </c>
      <c r="E21" s="21" t="str">
        <f ca="1">IF(Jars[[#This Row],[Jar Type]]="", "", TEXT(_xlfn.XLOOKUP(Jars[[#This Row],[Jar Type]], Containers!A:A, Containers!C:C), "General"))</f>
        <v>1892.7</v>
      </c>
      <c r="F21" s="19" t="s">
        <v>44</v>
      </c>
      <c r="G21" s="19" t="s">
        <v>414</v>
      </c>
      <c r="H21" s="20" t="s">
        <v>360</v>
      </c>
      <c r="I21" s="20" t="str" cm="1">
        <f t="array" aca="1" ref="I2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1" s="20" t="str" cm="1">
        <f t="array" aca="1" ref="J2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1" s="17" t="s">
        <v>375</v>
      </c>
      <c r="L21" s="17" t="s">
        <v>362</v>
      </c>
      <c r="M21" s="17" t="s">
        <v>362</v>
      </c>
      <c r="N21" s="19" t="s">
        <v>82</v>
      </c>
      <c r="O21" s="17" t="s">
        <v>387</v>
      </c>
      <c r="P21" s="17">
        <f ca="1">IFERROR(VALUE(Jars[[#This Row],[Fertilizer Added (g)]]), 0)</f>
        <v>1.39</v>
      </c>
      <c r="Q21" t="s">
        <v>8</v>
      </c>
      <c r="R21" s="17" t="s">
        <v>367</v>
      </c>
      <c r="S21" s="17" t="s">
        <v>418</v>
      </c>
      <c r="T2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1" s="1" t="s">
        <v>367</v>
      </c>
      <c r="V21" s="2" t="s">
        <v>419</v>
      </c>
      <c r="W21" s="17" t="s">
        <v>362</v>
      </c>
      <c r="X21" s="17">
        <f ca="1">IFERROR(SUM(_xlfn.SINGLE(Jars[Fertilizer Added]), _xlfn.XLOOKUP(_xlfn.SINGLE(Jars[Jar]), JarsPlusPlus_2[Jar], JarsPlusPlus_2[C:Total Fertilizer Added (g)])), _xlfn.SINGLE(Jars[Fertilizer Added]))</f>
        <v>1.39</v>
      </c>
      <c r="Y21" s="17" t="s">
        <v>369</v>
      </c>
      <c r="Z21" s="17" t="s">
        <v>370</v>
      </c>
      <c r="AA21" s="20"/>
    </row>
    <row r="22" spans="1:27">
      <c r="A22" t="s">
        <v>420</v>
      </c>
      <c r="B22" s="19" t="s">
        <v>40</v>
      </c>
      <c r="C22" s="17" t="s">
        <v>421</v>
      </c>
      <c r="D22" s="20" t="s">
        <v>358</v>
      </c>
      <c r="E22" s="21" t="str">
        <f ca="1">IF(Jars[[#This Row],[Jar Type]]="", "", TEXT(_xlfn.XLOOKUP(Jars[[#This Row],[Jar Type]], Containers!A:A, Containers!C:C), "General"))</f>
        <v>1892.7</v>
      </c>
      <c r="F22" s="19" t="s">
        <v>44</v>
      </c>
      <c r="G22" s="19" t="s">
        <v>414</v>
      </c>
      <c r="H22" s="20" t="s">
        <v>360</v>
      </c>
      <c r="I22" s="20" t="str" cm="1">
        <f t="array" aca="1" ref="I2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2" s="20" t="str" cm="1">
        <f t="array" aca="1" ref="J2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2" s="17" t="s">
        <v>375</v>
      </c>
      <c r="L22" s="17" t="s">
        <v>362</v>
      </c>
      <c r="M22" s="17" t="s">
        <v>362</v>
      </c>
      <c r="N22" s="19" t="s">
        <v>82</v>
      </c>
      <c r="O22" s="17" t="s">
        <v>422</v>
      </c>
      <c r="P22" s="17">
        <f ca="1">IFERROR(VALUE(Jars[[#This Row],[Fertilizer Added (g)]]), 0)</f>
        <v>1.41</v>
      </c>
      <c r="Q22" t="s">
        <v>8</v>
      </c>
      <c r="R22" s="17" t="s">
        <v>379</v>
      </c>
      <c r="S22" s="17" t="s">
        <v>423</v>
      </c>
      <c r="T2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2" s="3" t="s">
        <v>362</v>
      </c>
      <c r="V22" s="3" t="s">
        <v>362</v>
      </c>
      <c r="W22" s="17" t="s">
        <v>362</v>
      </c>
      <c r="X22" s="17">
        <f ca="1">IFERROR(SUM(_xlfn.SINGLE(Jars[Fertilizer Added]), _xlfn.XLOOKUP(_xlfn.SINGLE(Jars[Jar]), JarsPlusPlus_2[Jar], JarsPlusPlus_2[C:Total Fertilizer Added (g)])), _xlfn.SINGLE(Jars[Fertilizer Added]))</f>
        <v>1.41</v>
      </c>
      <c r="Y22" s="17" t="s">
        <v>369</v>
      </c>
      <c r="Z22" s="17" t="s">
        <v>370</v>
      </c>
    </row>
    <row r="23" spans="1:27">
      <c r="A23" t="s">
        <v>424</v>
      </c>
      <c r="B23" s="19" t="s">
        <v>40</v>
      </c>
      <c r="C23" s="17" t="s">
        <v>425</v>
      </c>
      <c r="D23" s="20" t="s">
        <v>358</v>
      </c>
      <c r="E23" s="21" t="str">
        <f ca="1">IF(Jars[[#This Row],[Jar Type]]="", "", TEXT(_xlfn.XLOOKUP(Jars[[#This Row],[Jar Type]], Containers!A:A, Containers!C:C), "General"))</f>
        <v>1892.7</v>
      </c>
      <c r="F23" s="19" t="s">
        <v>44</v>
      </c>
      <c r="G23" s="19" t="s">
        <v>414</v>
      </c>
      <c r="H23" s="20" t="s">
        <v>360</v>
      </c>
      <c r="I23" s="20" t="str" cm="1">
        <f t="array" aca="1" ref="I2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3" s="20" t="str" cm="1">
        <f t="array" aca="1" ref="J2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3" s="17" t="s">
        <v>375</v>
      </c>
      <c r="L23" s="17" t="s">
        <v>362</v>
      </c>
      <c r="M23" s="17" t="s">
        <v>362</v>
      </c>
      <c r="N23" s="19" t="s">
        <v>82</v>
      </c>
      <c r="O23" s="17" t="s">
        <v>426</v>
      </c>
      <c r="P23" s="17">
        <f ca="1">IFERROR(VALUE(Jars[[#This Row],[Fertilizer Added (g)]]), 0)</f>
        <v>1.8</v>
      </c>
      <c r="Q23" t="s">
        <v>8</v>
      </c>
      <c r="R23" s="17" t="s">
        <v>379</v>
      </c>
      <c r="S23" s="17" t="s">
        <v>427</v>
      </c>
      <c r="T2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3" s="1" t="s">
        <v>367</v>
      </c>
      <c r="V23" s="2" t="s">
        <v>428</v>
      </c>
      <c r="W23" s="17" t="s">
        <v>362</v>
      </c>
      <c r="X23" s="17">
        <f ca="1">IFERROR(SUM(_xlfn.SINGLE(Jars[Fertilizer Added]), _xlfn.XLOOKUP(_xlfn.SINGLE(Jars[Jar]), JarsPlusPlus_2[Jar], JarsPlusPlus_2[C:Total Fertilizer Added (g)])), _xlfn.SINGLE(Jars[Fertilizer Added]))</f>
        <v>1.8</v>
      </c>
      <c r="Y23" s="17" t="s">
        <v>369</v>
      </c>
      <c r="Z23" s="17" t="s">
        <v>370</v>
      </c>
      <c r="AA23" s="20"/>
    </row>
    <row r="24" spans="1:27">
      <c r="A24" t="s">
        <v>429</v>
      </c>
      <c r="B24" s="19" t="s">
        <v>40</v>
      </c>
      <c r="C24" s="17" t="s">
        <v>430</v>
      </c>
      <c r="D24" s="20" t="s">
        <v>358</v>
      </c>
      <c r="E24" s="21" t="str">
        <f ca="1">IF(Jars[[#This Row],[Jar Type]]="", "", TEXT(_xlfn.XLOOKUP(Jars[[#This Row],[Jar Type]], Containers!A:A, Containers!C:C), "General"))</f>
        <v>1892.7</v>
      </c>
      <c r="F24" s="19" t="s">
        <v>44</v>
      </c>
      <c r="G24" s="19" t="s">
        <v>431</v>
      </c>
      <c r="H24" s="20" t="s">
        <v>360</v>
      </c>
      <c r="I24" s="20" t="str" cm="1">
        <f t="array" aca="1" ref="I2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4" s="20" t="str" cm="1">
        <f t="array" aca="1" ref="J2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4" s="17" t="s">
        <v>375</v>
      </c>
      <c r="L24" s="17" t="s">
        <v>362</v>
      </c>
      <c r="M24" s="17" t="s">
        <v>362</v>
      </c>
      <c r="N24" s="19" t="s">
        <v>82</v>
      </c>
      <c r="O24" s="17" t="s">
        <v>393</v>
      </c>
      <c r="P24" s="17">
        <f ca="1">IFERROR(VALUE(Jars[[#This Row],[Fertilizer Added (g)]]), 0)</f>
        <v>1.4</v>
      </c>
      <c r="Q24" t="s">
        <v>8</v>
      </c>
      <c r="R24" s="17" t="s">
        <v>379</v>
      </c>
      <c r="S24" s="17" t="s">
        <v>432</v>
      </c>
      <c r="T2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4" s="1" t="s">
        <v>410</v>
      </c>
      <c r="V24" s="2" t="s">
        <v>433</v>
      </c>
      <c r="W24" s="17" t="s">
        <v>362</v>
      </c>
      <c r="X24" s="17">
        <f ca="1">IFERROR(SUM(_xlfn.SINGLE(Jars[Fertilizer Added]), _xlfn.XLOOKUP(_xlfn.SINGLE(Jars[Jar]), JarsPlusPlus_2[Jar], JarsPlusPlus_2[C:Total Fertilizer Added (g)])), _xlfn.SINGLE(Jars[Fertilizer Added]))</f>
        <v>1.4</v>
      </c>
      <c r="Y24" s="17" t="s">
        <v>369</v>
      </c>
      <c r="Z24" s="17" t="s">
        <v>370</v>
      </c>
      <c r="AA24" s="20"/>
    </row>
    <row r="25" spans="1:27">
      <c r="A25" t="s">
        <v>434</v>
      </c>
      <c r="B25" s="19" t="s">
        <v>40</v>
      </c>
      <c r="C25" s="17" t="s">
        <v>435</v>
      </c>
      <c r="D25" s="20" t="s">
        <v>358</v>
      </c>
      <c r="E25" s="21" t="str">
        <f ca="1">IF(Jars[[#This Row],[Jar Type]]="", "", TEXT(_xlfn.XLOOKUP(Jars[[#This Row],[Jar Type]], Containers!A:A, Containers!C:C), "General"))</f>
        <v>1892.7</v>
      </c>
      <c r="F25" s="19" t="s">
        <v>44</v>
      </c>
      <c r="G25" s="19" t="s">
        <v>431</v>
      </c>
      <c r="H25" s="20" t="s">
        <v>360</v>
      </c>
      <c r="I25" s="20" t="str" cm="1">
        <f t="array" aca="1" ref="I2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5" s="20" t="str" cm="1">
        <f t="array" aca="1" ref="J2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5" s="17" t="s">
        <v>375</v>
      </c>
      <c r="L25" s="17" t="s">
        <v>362</v>
      </c>
      <c r="M25" s="17" t="s">
        <v>362</v>
      </c>
      <c r="N25" s="19" t="s">
        <v>82</v>
      </c>
      <c r="O25" s="17" t="s">
        <v>383</v>
      </c>
      <c r="P25" s="17">
        <f ca="1">IFERROR(VALUE(Jars[[#This Row],[Fertilizer Added (g)]]), 0)</f>
        <v>1.44</v>
      </c>
      <c r="Q25" t="s">
        <v>8</v>
      </c>
      <c r="R25" s="17" t="s">
        <v>364</v>
      </c>
      <c r="S25" s="20" t="s">
        <v>432</v>
      </c>
      <c r="T25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5" s="1" t="s">
        <v>436</v>
      </c>
      <c r="V25" s="2" t="s">
        <v>437</v>
      </c>
      <c r="W25" s="19" t="s">
        <v>6</v>
      </c>
      <c r="X25" s="19">
        <f ca="1">IFERROR(SUM(_xlfn.SINGLE(Jars[Fertilizer Added]), _xlfn.XLOOKUP(_xlfn.SINGLE(Jars[Jar]), JarsPlusPlus_2[Jar], JarsPlusPlus_2[C:Total Fertilizer Added (g)])), _xlfn.SINGLE(Jars[Fertilizer Added]))</f>
        <v>1.44</v>
      </c>
      <c r="Y25" s="17" t="s">
        <v>369</v>
      </c>
      <c r="Z25" s="17" t="s">
        <v>370</v>
      </c>
      <c r="AA25" s="17" t="s">
        <v>412</v>
      </c>
    </row>
    <row r="26" spans="1:27">
      <c r="A26" t="s">
        <v>438</v>
      </c>
      <c r="B26" s="19" t="s">
        <v>40</v>
      </c>
      <c r="C26" s="17" t="s">
        <v>439</v>
      </c>
      <c r="D26" s="20" t="s">
        <v>358</v>
      </c>
      <c r="E26" s="21" t="str">
        <f ca="1">IF(Jars[[#This Row],[Jar Type]]="", "", TEXT(_xlfn.XLOOKUP(Jars[[#This Row],[Jar Type]], Containers!A:A, Containers!C:C), "General"))</f>
        <v>1892.7</v>
      </c>
      <c r="F26" s="19" t="s">
        <v>44</v>
      </c>
      <c r="G26" s="19" t="s">
        <v>431</v>
      </c>
      <c r="H26" s="20" t="s">
        <v>360</v>
      </c>
      <c r="I26" s="20" t="str" cm="1">
        <f t="array" aca="1" ref="I2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6" s="20" t="str" cm="1">
        <f t="array" aca="1" ref="J2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6" s="17" t="s">
        <v>375</v>
      </c>
      <c r="L26" s="17" t="s">
        <v>362</v>
      </c>
      <c r="M26" s="17" t="s">
        <v>362</v>
      </c>
      <c r="N26" s="19" t="s">
        <v>82</v>
      </c>
      <c r="O26" s="17" t="s">
        <v>440</v>
      </c>
      <c r="P26" s="17">
        <f ca="1">IFERROR(VALUE(Jars[[#This Row],[Fertilizer Added (g)]]), 0)</f>
        <v>1.55</v>
      </c>
      <c r="Q26" t="s">
        <v>8</v>
      </c>
      <c r="R26" s="17" t="s">
        <v>379</v>
      </c>
      <c r="S26" s="20" t="s">
        <v>432</v>
      </c>
      <c r="T26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6" s="1" t="s">
        <v>379</v>
      </c>
      <c r="V26" s="2" t="s">
        <v>441</v>
      </c>
      <c r="W26" s="19" t="s">
        <v>6</v>
      </c>
      <c r="X26" s="19">
        <f ca="1">IFERROR(SUM(_xlfn.SINGLE(Jars[Fertilizer Added]), _xlfn.XLOOKUP(_xlfn.SINGLE(Jars[Jar]), JarsPlusPlus_2[Jar], JarsPlusPlus_2[C:Total Fertilizer Added (g)])), _xlfn.SINGLE(Jars[Fertilizer Added]))</f>
        <v>1.55</v>
      </c>
      <c r="Y26" s="17" t="s">
        <v>369</v>
      </c>
      <c r="Z26" s="17" t="s">
        <v>370</v>
      </c>
      <c r="AA26" s="17" t="s">
        <v>412</v>
      </c>
    </row>
    <row r="27" spans="1:27">
      <c r="A27" t="s">
        <v>442</v>
      </c>
      <c r="B27" s="19" t="s">
        <v>40</v>
      </c>
      <c r="C27" s="17" t="s">
        <v>443</v>
      </c>
      <c r="D27" s="20" t="s">
        <v>358</v>
      </c>
      <c r="E27" s="21" t="str">
        <f ca="1">IF(Jars[[#This Row],[Jar Type]]="", "", TEXT(_xlfn.XLOOKUP(Jars[[#This Row],[Jar Type]], Containers!A:A, Containers!C:C), "General"))</f>
        <v>1892.7</v>
      </c>
      <c r="F27" s="19" t="s">
        <v>44</v>
      </c>
      <c r="G27" s="19" t="s">
        <v>431</v>
      </c>
      <c r="H27" s="20" t="s">
        <v>360</v>
      </c>
      <c r="I27" s="20" t="str" cm="1">
        <f t="array" aca="1" ref="I2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7" s="20" t="str" cm="1">
        <f t="array" aca="1" ref="J2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7" s="17" t="s">
        <v>375</v>
      </c>
      <c r="L27" s="17" t="s">
        <v>362</v>
      </c>
      <c r="M27" s="17" t="s">
        <v>362</v>
      </c>
      <c r="N27" s="19" t="s">
        <v>82</v>
      </c>
      <c r="O27" s="17" t="s">
        <v>444</v>
      </c>
      <c r="P27" s="17">
        <f ca="1">IFERROR(VALUE(Jars[[#This Row],[Fertilizer Added (g)]]), 0)</f>
        <v>1.57</v>
      </c>
      <c r="Q27" t="s">
        <v>8</v>
      </c>
      <c r="R27" s="17" t="s">
        <v>445</v>
      </c>
      <c r="S27" s="20" t="s">
        <v>432</v>
      </c>
      <c r="T27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7" s="1" t="s">
        <v>379</v>
      </c>
      <c r="V27" s="2" t="s">
        <v>446</v>
      </c>
      <c r="W27" s="19" t="s">
        <v>6</v>
      </c>
      <c r="X27" s="19">
        <f ca="1">IFERROR(SUM(_xlfn.SINGLE(Jars[Fertilizer Added]), _xlfn.XLOOKUP(_xlfn.SINGLE(Jars[Jar]), JarsPlusPlus_2[Jar], JarsPlusPlus_2[C:Total Fertilizer Added (g)])), _xlfn.SINGLE(Jars[Fertilizer Added]))</f>
        <v>1.57</v>
      </c>
      <c r="Y27" s="17" t="s">
        <v>369</v>
      </c>
      <c r="Z27" s="17" t="s">
        <v>370</v>
      </c>
      <c r="AA27" s="17" t="s">
        <v>447</v>
      </c>
    </row>
    <row r="28" spans="1:27">
      <c r="A28" t="s">
        <v>448</v>
      </c>
      <c r="B28" s="19" t="s">
        <v>40</v>
      </c>
      <c r="C28" s="17" t="s">
        <v>449</v>
      </c>
      <c r="D28" s="20" t="s">
        <v>450</v>
      </c>
      <c r="E28" s="21" t="str">
        <f ca="1">IF(Jars[[#This Row],[Jar Type]]="", "", TEXT(_xlfn.XLOOKUP(Jars[[#This Row],[Jar Type]], Containers!A:A, Containers!C:C), "General"))</f>
        <v>1892.7</v>
      </c>
      <c r="F28" s="19" t="s">
        <v>6</v>
      </c>
      <c r="G28" s="19" t="s">
        <v>451</v>
      </c>
      <c r="H28" s="20" t="s">
        <v>452</v>
      </c>
      <c r="I28" s="20" t="str" cm="1">
        <f t="array" aca="1" ref="I2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8" s="20" t="str" cm="1">
        <f t="array" aca="1" ref="J2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8" s="17" t="s">
        <v>375</v>
      </c>
      <c r="L28" s="17" t="s">
        <v>362</v>
      </c>
      <c r="M28" s="17" t="s">
        <v>362</v>
      </c>
      <c r="N28" s="19" t="s">
        <v>82</v>
      </c>
      <c r="O28" s="19" t="s">
        <v>453</v>
      </c>
      <c r="P28" s="19">
        <f ca="1">IFERROR(VALUE(Jars[[#This Row],[Fertilizer Added (g)]]), 0)</f>
        <v>1.77</v>
      </c>
      <c r="Q28" t="s">
        <v>8</v>
      </c>
      <c r="R28" s="19" t="s">
        <v>445</v>
      </c>
      <c r="S28" s="19" t="s">
        <v>454</v>
      </c>
      <c r="T28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28" s="19"/>
      <c r="V28" s="19"/>
      <c r="W28" s="17" t="s">
        <v>362</v>
      </c>
      <c r="X28" s="17">
        <f ca="1">IFERROR(SUM(_xlfn.SINGLE(Jars[Fertilizer Added]), _xlfn.XLOOKUP(_xlfn.SINGLE(Jars[Jar]), JarsPlusPlus_2[Jar], JarsPlusPlus_2[C:Total Fertilizer Added (g)])), _xlfn.SINGLE(Jars[Fertilizer Added]))</f>
        <v>1.77</v>
      </c>
      <c r="Y28" s="17" t="s">
        <v>369</v>
      </c>
      <c r="Z28" s="17" t="s">
        <v>370</v>
      </c>
    </row>
    <row r="29" spans="1:27">
      <c r="A29" t="s">
        <v>455</v>
      </c>
      <c r="B29" s="19" t="s">
        <v>40</v>
      </c>
      <c r="C29" s="17" t="s">
        <v>456</v>
      </c>
      <c r="D29" s="20" t="s">
        <v>450</v>
      </c>
      <c r="E29" s="21" t="str">
        <f ca="1">IF(Jars[[#This Row],[Jar Type]]="", "", TEXT(_xlfn.XLOOKUP(Jars[[#This Row],[Jar Type]], Containers!A:A, Containers!C:C), "General"))</f>
        <v>1892.7</v>
      </c>
      <c r="F29" s="19" t="s">
        <v>6</v>
      </c>
      <c r="G29" s="21" t="s">
        <v>451</v>
      </c>
      <c r="H29" s="20" t="s">
        <v>452</v>
      </c>
      <c r="I29" s="20" t="str" cm="1">
        <f t="array" aca="1" ref="I2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9" s="20" t="str" cm="1">
        <f t="array" aca="1" ref="J2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9" s="17" t="s">
        <v>457</v>
      </c>
      <c r="L29" s="17" t="s">
        <v>362</v>
      </c>
      <c r="M29" s="17" t="s">
        <v>362</v>
      </c>
      <c r="N29" s="19" t="s">
        <v>82</v>
      </c>
      <c r="O29" s="19" t="s">
        <v>458</v>
      </c>
      <c r="P29" s="19">
        <f ca="1">IFERROR(VALUE(Jars[[#This Row],[Fertilizer Added (g)]]), 0)</f>
        <v>1.72</v>
      </c>
      <c r="Q29" t="s">
        <v>8</v>
      </c>
      <c r="R29" s="21" t="s">
        <v>445</v>
      </c>
      <c r="S29" s="19" t="s">
        <v>459</v>
      </c>
      <c r="T29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29" s="19"/>
      <c r="V29" s="19"/>
      <c r="W29" s="17" t="s">
        <v>362</v>
      </c>
      <c r="X29" s="17">
        <f ca="1">IFERROR(SUM(_xlfn.SINGLE(Jars[Fertilizer Added]), _xlfn.XLOOKUP(_xlfn.SINGLE(Jars[Jar]), JarsPlusPlus_2[Jar], JarsPlusPlus_2[C:Total Fertilizer Added (g)])), _xlfn.SINGLE(Jars[Fertilizer Added]))</f>
        <v>2.77</v>
      </c>
      <c r="Y29" s="17" t="s">
        <v>369</v>
      </c>
      <c r="Z29" s="17" t="s">
        <v>370</v>
      </c>
    </row>
    <row r="30" spans="1:27">
      <c r="A30" t="s">
        <v>460</v>
      </c>
      <c r="B30" s="19" t="s">
        <v>40</v>
      </c>
      <c r="C30" s="17" t="s">
        <v>460</v>
      </c>
      <c r="D30" s="20" t="s">
        <v>450</v>
      </c>
      <c r="E30" s="21" t="str">
        <f ca="1">IF(Jars[[#This Row],[Jar Type]]="", "", TEXT(_xlfn.XLOOKUP(Jars[[#This Row],[Jar Type]], Containers!A:A, Containers!C:C), "General"))</f>
        <v>1892.7</v>
      </c>
      <c r="F30" s="19" t="s">
        <v>6</v>
      </c>
      <c r="G30" s="21" t="s">
        <v>451</v>
      </c>
      <c r="H30" s="20" t="s">
        <v>452</v>
      </c>
      <c r="I30" s="20" t="str" cm="1">
        <f t="array" aca="1" ref="I3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0" s="20" t="str" cm="1">
        <f t="array" aca="1" ref="J3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0" s="17" t="s">
        <v>461</v>
      </c>
      <c r="L30" s="17" t="s">
        <v>362</v>
      </c>
      <c r="M30" s="17" t="s">
        <v>362</v>
      </c>
      <c r="N30" s="19" t="s">
        <v>82</v>
      </c>
      <c r="O30" s="19" t="s">
        <v>462</v>
      </c>
      <c r="P30" s="19">
        <f ca="1">IFERROR(VALUE(Jars[[#This Row],[Fertilizer Added (g)]]), 0)</f>
        <v>1.67</v>
      </c>
      <c r="Q30" t="s">
        <v>8</v>
      </c>
      <c r="R30" s="21" t="s">
        <v>445</v>
      </c>
      <c r="S30" s="19" t="s">
        <v>463</v>
      </c>
      <c r="T30" s="19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U30" s="19"/>
      <c r="V30" s="19"/>
      <c r="W30" s="17" t="s">
        <v>362</v>
      </c>
      <c r="X30" s="17">
        <f ca="1">IFERROR(SUM(_xlfn.SINGLE(Jars[Fertilizer Added]), _xlfn.XLOOKUP(_xlfn.SINGLE(Jars[Jar]), JarsPlusPlus_2[Jar], JarsPlusPlus_2[C:Total Fertilizer Added (g)])), _xlfn.SINGLE(Jars[Fertilizer Added]))</f>
        <v>1.67</v>
      </c>
      <c r="Y30" s="17" t="s">
        <v>369</v>
      </c>
      <c r="Z30" s="17" t="s">
        <v>370</v>
      </c>
    </row>
    <row r="31" spans="1:27">
      <c r="A31" t="s">
        <v>464</v>
      </c>
      <c r="B31" s="19" t="s">
        <v>40</v>
      </c>
      <c r="C31" s="17" t="s">
        <v>456</v>
      </c>
      <c r="D31" s="20" t="s">
        <v>450</v>
      </c>
      <c r="E31" s="21" t="str">
        <f ca="1">IF(Jars[[#This Row],[Jar Type]]="", "", TEXT(_xlfn.XLOOKUP(Jars[[#This Row],[Jar Type]], Containers!A:A, Containers!C:C), "General"))</f>
        <v>1892.7</v>
      </c>
      <c r="F31" s="19" t="s">
        <v>6</v>
      </c>
      <c r="G31" s="21" t="s">
        <v>451</v>
      </c>
      <c r="H31" s="20" t="s">
        <v>452</v>
      </c>
      <c r="I31" s="20" t="str" cm="1">
        <f t="array" aca="1" ref="I3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1" s="20" t="str" cm="1">
        <f t="array" aca="1" ref="J3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1" s="17" t="s">
        <v>465</v>
      </c>
      <c r="L31" s="17" t="s">
        <v>362</v>
      </c>
      <c r="M31" s="17" t="s">
        <v>362</v>
      </c>
      <c r="N31" s="19" t="s">
        <v>82</v>
      </c>
      <c r="O31" s="19" t="s">
        <v>466</v>
      </c>
      <c r="P31" s="19">
        <f ca="1">IFERROR(VALUE(Jars[[#This Row],[Fertilizer Added (g)]]), 0)</f>
        <v>1.64</v>
      </c>
      <c r="Q31" t="s">
        <v>8</v>
      </c>
      <c r="R31" s="21" t="s">
        <v>445</v>
      </c>
      <c r="S31" s="19" t="s">
        <v>467</v>
      </c>
      <c r="T31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1" s="19"/>
      <c r="V31" s="19"/>
      <c r="W31" s="17" t="s">
        <v>362</v>
      </c>
      <c r="X31" s="17">
        <f ca="1">IFERROR(SUM(_xlfn.SINGLE(Jars[Fertilizer Added]), _xlfn.XLOOKUP(_xlfn.SINGLE(Jars[Jar]), JarsPlusPlus_2[Jar], JarsPlusPlus_2[C:Total Fertilizer Added (g)])), _xlfn.SINGLE(Jars[Fertilizer Added]))</f>
        <v>3.16</v>
      </c>
      <c r="Y31" s="17" t="s">
        <v>369</v>
      </c>
      <c r="Z31" s="17" t="s">
        <v>370</v>
      </c>
    </row>
    <row r="32" spans="1:27">
      <c r="A32" t="s">
        <v>468</v>
      </c>
      <c r="B32" s="19" t="s">
        <v>40</v>
      </c>
      <c r="C32" s="17" t="s">
        <v>456</v>
      </c>
      <c r="D32" s="20" t="s">
        <v>450</v>
      </c>
      <c r="E32" s="21" t="str">
        <f ca="1">IF(Jars[[#This Row],[Jar Type]]="", "", TEXT(_xlfn.XLOOKUP(Jars[[#This Row],[Jar Type]], Containers!A:A, Containers!C:C), "General"))</f>
        <v>1892.7</v>
      </c>
      <c r="F32" s="19" t="s">
        <v>6</v>
      </c>
      <c r="G32" s="19" t="s">
        <v>469</v>
      </c>
      <c r="H32" s="20" t="s">
        <v>452</v>
      </c>
      <c r="I32" s="20" t="str" cm="1">
        <f t="array" aca="1" ref="I3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2" s="20" t="str" cm="1">
        <f t="array" aca="1" ref="J3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2" s="19" t="s">
        <v>361</v>
      </c>
      <c r="L32" s="17" t="s">
        <v>362</v>
      </c>
      <c r="M32" s="17" t="s">
        <v>362</v>
      </c>
      <c r="N32" s="19" t="s">
        <v>82</v>
      </c>
      <c r="O32" s="19" t="s">
        <v>470</v>
      </c>
      <c r="P32" s="19">
        <f ca="1">IFERROR(VALUE(Jars[[#This Row],[Fertilizer Added (g)]]), 0)</f>
        <v>1.83</v>
      </c>
      <c r="Q32" t="s">
        <v>8</v>
      </c>
      <c r="R32" s="17" t="s">
        <v>379</v>
      </c>
      <c r="S32" s="19" t="s">
        <v>471</v>
      </c>
      <c r="T32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2" s="19"/>
      <c r="V32" s="19"/>
      <c r="W32" s="17" t="s">
        <v>362</v>
      </c>
      <c r="X32" s="17">
        <f ca="1">IFERROR(SUM(_xlfn.SINGLE(Jars[Fertilizer Added]), _xlfn.XLOOKUP(_xlfn.SINGLE(Jars[Jar]), JarsPlusPlus_2[Jar], JarsPlusPlus_2[C:Total Fertilizer Added (g)])), _xlfn.SINGLE(Jars[Fertilizer Added]))</f>
        <v>1.83</v>
      </c>
      <c r="Y32" s="17" t="s">
        <v>369</v>
      </c>
      <c r="Z32" s="17" t="s">
        <v>370</v>
      </c>
    </row>
    <row r="33" spans="1:27">
      <c r="A33" t="s">
        <v>472</v>
      </c>
      <c r="B33" s="19" t="s">
        <v>42</v>
      </c>
      <c r="C33" s="19" t="s">
        <v>317</v>
      </c>
      <c r="D33" s="20" t="s">
        <v>473</v>
      </c>
      <c r="E33" s="17" t="str">
        <f ca="1">IF(Jars[[#This Row],[Jar Type]]="", "", TEXT(_xlfn.XLOOKUP(Jars[[#This Row],[Jar Type]], Containers!A:A, Containers!C:C), "General"))</f>
        <v>371</v>
      </c>
      <c r="F33" s="19" t="s">
        <v>6</v>
      </c>
      <c r="G33" s="19" t="s">
        <v>469</v>
      </c>
      <c r="H33" s="20" t="s">
        <v>452</v>
      </c>
      <c r="I33" s="20" t="str" cm="1">
        <f t="array" aca="1" ref="I3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3" s="20" t="str" cm="1">
        <f t="array" aca="1" ref="J3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3" s="17" t="s">
        <v>474</v>
      </c>
      <c r="L33" s="17" t="s">
        <v>362</v>
      </c>
      <c r="M33" s="17" t="s">
        <v>362</v>
      </c>
      <c r="N33" s="19" t="s">
        <v>82</v>
      </c>
      <c r="O33" s="19" t="s">
        <v>475</v>
      </c>
      <c r="P33" s="19">
        <f ca="1">IFERROR(VALUE(Jars[[#This Row],[Fertilizer Added (g)]]), 0)</f>
        <v>0.23</v>
      </c>
      <c r="Q33" t="s">
        <v>8</v>
      </c>
      <c r="R33" s="20" t="s">
        <v>362</v>
      </c>
      <c r="S33" s="20" t="s">
        <v>362</v>
      </c>
      <c r="T33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3" s="20"/>
      <c r="V33" s="20"/>
      <c r="W33" s="17" t="s">
        <v>362</v>
      </c>
      <c r="X33" s="17">
        <f ca="1">IFERROR(SUM(_xlfn.SINGLE(Jars[Fertilizer Added]), _xlfn.XLOOKUP(_xlfn.SINGLE(Jars[Jar]), JarsPlusPlus_2[Jar], JarsPlusPlus_2[C:Total Fertilizer Added (g)])), _xlfn.SINGLE(Jars[Fertilizer Added]))</f>
        <v>0.23</v>
      </c>
      <c r="Y33" s="17" t="s">
        <v>369</v>
      </c>
      <c r="Z33" s="17" t="s">
        <v>370</v>
      </c>
    </row>
    <row r="34" spans="1:27">
      <c r="A34" t="s">
        <v>150</v>
      </c>
      <c r="B34" s="19" t="s">
        <v>40</v>
      </c>
      <c r="C34" s="19" t="s">
        <v>317</v>
      </c>
      <c r="D34" s="20" t="s">
        <v>473</v>
      </c>
      <c r="E34" s="19" t="str">
        <f ca="1">IF(Jars[[#This Row],[Jar Type]]="", "", TEXT(_xlfn.XLOOKUP(Jars[[#This Row],[Jar Type]], Containers!A:A, Containers!C:C), "General"))</f>
        <v>1892.7</v>
      </c>
      <c r="F34" s="19" t="s">
        <v>6</v>
      </c>
      <c r="G34" s="19" t="s">
        <v>476</v>
      </c>
      <c r="H34" s="20" t="s">
        <v>452</v>
      </c>
      <c r="I34" s="20" t="str" cm="1">
        <f t="array" aca="1" ref="I3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4" s="20" t="str" cm="1">
        <f t="array" aca="1" ref="J3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4" s="17" t="s">
        <v>477</v>
      </c>
      <c r="L34" s="17" t="s">
        <v>362</v>
      </c>
      <c r="M34" s="17" t="s">
        <v>362</v>
      </c>
      <c r="N34" s="19" t="s">
        <v>82</v>
      </c>
      <c r="O34" s="17" t="s">
        <v>44</v>
      </c>
      <c r="P34" s="17">
        <f ca="1">IFERROR(VALUE(Jars[[#This Row],[Fertilizer Added (g)]]), 0)</f>
        <v>0</v>
      </c>
      <c r="Q34" t="s">
        <v>8</v>
      </c>
      <c r="R34" s="20" t="s">
        <v>362</v>
      </c>
      <c r="S34" s="20" t="s">
        <v>362</v>
      </c>
      <c r="T34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4" s="20"/>
      <c r="V34" s="20"/>
      <c r="W34" s="17" t="s">
        <v>362</v>
      </c>
      <c r="X34" s="17">
        <f ca="1">IFERROR(SUM(_xlfn.SINGLE(Jars[Fertilizer Added]), _xlfn.XLOOKUP(_xlfn.SINGLE(Jars[Jar]), JarsPlusPlus_2[Jar], JarsPlusPlus_2[C:Total Fertilizer Added (g)])), _xlfn.SINGLE(Jars[Fertilizer Added]))</f>
        <v>0</v>
      </c>
      <c r="Y34" s="17" t="s">
        <v>369</v>
      </c>
      <c r="Z34" s="17" t="s">
        <v>370</v>
      </c>
    </row>
    <row r="35" spans="1:27">
      <c r="A35" t="s">
        <v>478</v>
      </c>
      <c r="B35" s="17" t="s">
        <v>48</v>
      </c>
      <c r="C35" s="8" t="s">
        <v>317</v>
      </c>
      <c r="D35" s="20" t="s">
        <v>473</v>
      </c>
      <c r="E35" s="19" t="str">
        <f ca="1">IF(Jars[[#This Row],[Jar Type]]="", "", TEXT(_xlfn.XLOOKUP(Jars[[#This Row],[Jar Type]], Containers!A:A, Containers!C:C), "General"))</f>
        <v>354</v>
      </c>
      <c r="F35" s="19" t="s">
        <v>6</v>
      </c>
      <c r="G35" s="17" t="s">
        <v>479</v>
      </c>
      <c r="H35" s="20" t="s">
        <v>452</v>
      </c>
      <c r="I35" s="20" t="str" cm="1">
        <f t="array" aca="1" ref="I3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5" s="20" t="str" cm="1">
        <f t="array" aca="1" ref="J3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5" s="17" t="s">
        <v>60</v>
      </c>
      <c r="L35" s="17" t="s">
        <v>362</v>
      </c>
      <c r="M35" s="17" t="s">
        <v>362</v>
      </c>
      <c r="N35" s="19" t="s">
        <v>82</v>
      </c>
      <c r="O35" s="19" t="s">
        <v>480</v>
      </c>
      <c r="P35" s="19">
        <f ca="1">IFERROR(VALUE(Jars[[#This Row],[Fertilizer Added (g)]]), 0)</f>
        <v>0.17</v>
      </c>
      <c r="Q35" t="s">
        <v>8</v>
      </c>
      <c r="R35" s="17" t="s">
        <v>410</v>
      </c>
      <c r="S35" s="20" t="s">
        <v>362</v>
      </c>
      <c r="T35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5" s="20"/>
      <c r="V35" s="20"/>
      <c r="W35" s="17" t="s">
        <v>362</v>
      </c>
      <c r="X35" s="17">
        <f ca="1">IFERROR(SUM(_xlfn.SINGLE(Jars[Fertilizer Added]), _xlfn.XLOOKUP(_xlfn.SINGLE(Jars[Jar]), JarsPlusPlus_2[Jar], JarsPlusPlus_2[C:Total Fertilizer Added (g)])), _xlfn.SINGLE(Jars[Fertilizer Added]))</f>
        <v>0.17</v>
      </c>
      <c r="Y35" s="20" t="s">
        <v>481</v>
      </c>
      <c r="Z35" s="17" t="s">
        <v>370</v>
      </c>
    </row>
    <row r="36" spans="1:27">
      <c r="A36" t="s">
        <v>482</v>
      </c>
      <c r="B36" s="19" t="s">
        <v>40</v>
      </c>
      <c r="C36" s="17" t="s">
        <v>439</v>
      </c>
      <c r="D36" s="20" t="s">
        <v>450</v>
      </c>
      <c r="E36" s="21" t="str">
        <f ca="1">IF(Jars[[#This Row],[Jar Type]]="", "", TEXT(_xlfn.XLOOKUP(Jars[[#This Row],[Jar Type]], Containers!A:A, Containers!C:C), "General"))</f>
        <v>1892.7</v>
      </c>
      <c r="F36" s="19" t="s">
        <v>6</v>
      </c>
      <c r="G36" s="17" t="s">
        <v>479</v>
      </c>
      <c r="H36" s="20" t="s">
        <v>452</v>
      </c>
      <c r="I36" s="20" t="str" cm="1">
        <f t="array" aca="1" ref="I3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6" s="20" t="str" cm="1">
        <f t="array" aca="1" ref="J3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6" s="17" t="s">
        <v>483</v>
      </c>
      <c r="L36" s="17" t="s">
        <v>362</v>
      </c>
      <c r="M36" s="17" t="s">
        <v>362</v>
      </c>
      <c r="N36" s="19" t="s">
        <v>82</v>
      </c>
      <c r="O36" s="17" t="s">
        <v>484</v>
      </c>
      <c r="P36" s="17">
        <f ca="1">IFERROR(VALUE(Jars[[#This Row],[Fertilizer Added (g)]]), 0)</f>
        <v>1.87</v>
      </c>
      <c r="Q36" t="s">
        <v>8</v>
      </c>
      <c r="R36" s="17" t="s">
        <v>367</v>
      </c>
      <c r="S36" s="17" t="s">
        <v>485</v>
      </c>
      <c r="T36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6" s="17" t="s">
        <v>362</v>
      </c>
      <c r="X36" s="17">
        <f ca="1">IFERROR(SUM(_xlfn.SINGLE(Jars[Fertilizer Added]), _xlfn.XLOOKUP(_xlfn.SINGLE(Jars[Jar]), JarsPlusPlus_2[Jar], JarsPlusPlus_2[C:Total Fertilizer Added (g)])), _xlfn.SINGLE(Jars[Fertilizer Added]))</f>
        <v>1.87</v>
      </c>
      <c r="Y36" s="17" t="s">
        <v>369</v>
      </c>
      <c r="Z36" s="17" t="s">
        <v>370</v>
      </c>
    </row>
    <row r="37" spans="1:27">
      <c r="A37" t="s">
        <v>486</v>
      </c>
      <c r="B37" s="19" t="s">
        <v>40</v>
      </c>
      <c r="C37" s="17" t="s">
        <v>456</v>
      </c>
      <c r="D37" s="20" t="s">
        <v>450</v>
      </c>
      <c r="E37" s="21" t="str">
        <f ca="1">IF(Jars[[#This Row],[Jar Type]]="", "", TEXT(_xlfn.XLOOKUP(Jars[[#This Row],[Jar Type]], Containers!A:A, Containers!C:C), "General"))</f>
        <v>1892.7</v>
      </c>
      <c r="F37" s="19" t="s">
        <v>6</v>
      </c>
      <c r="G37" s="17" t="s">
        <v>479</v>
      </c>
      <c r="H37" s="20" t="s">
        <v>452</v>
      </c>
      <c r="I37" s="20" t="str" cm="1">
        <f t="array" aca="1" ref="I3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7" s="20" t="str" cm="1">
        <f t="array" aca="1" ref="J3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7" s="17" t="s">
        <v>375</v>
      </c>
      <c r="L37" s="17" t="s">
        <v>362</v>
      </c>
      <c r="M37" s="17" t="s">
        <v>362</v>
      </c>
      <c r="N37" s="19" t="s">
        <v>82</v>
      </c>
      <c r="O37" s="17" t="s">
        <v>470</v>
      </c>
      <c r="P37" s="17">
        <f ca="1">IFERROR(VALUE(Jars[[#This Row],[Fertilizer Added (g)]]), 0)</f>
        <v>1.83</v>
      </c>
      <c r="Q37" t="s">
        <v>8</v>
      </c>
      <c r="R37" s="17" t="s">
        <v>379</v>
      </c>
      <c r="S37" s="17" t="s">
        <v>487</v>
      </c>
      <c r="T37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7" s="17" t="s">
        <v>362</v>
      </c>
      <c r="X37" s="17">
        <f ca="1">IFERROR(SUM(_xlfn.SINGLE(Jars[Fertilizer Added]), _xlfn.XLOOKUP(_xlfn.SINGLE(Jars[Jar]), JarsPlusPlus_2[Jar], JarsPlusPlus_2[C:Total Fertilizer Added (g)])), _xlfn.SINGLE(Jars[Fertilizer Added]))</f>
        <v>3.63</v>
      </c>
      <c r="Y37" s="17" t="s">
        <v>369</v>
      </c>
      <c r="Z37" s="17" t="s">
        <v>370</v>
      </c>
    </row>
    <row r="38" spans="1:27">
      <c r="A38" t="s">
        <v>489</v>
      </c>
      <c r="B38" s="19" t="s">
        <v>40</v>
      </c>
      <c r="C38" s="17" t="s">
        <v>490</v>
      </c>
      <c r="D38" s="20" t="s">
        <v>450</v>
      </c>
      <c r="E38" s="17" t="str">
        <f ca="1">IF(Jars[[#This Row],[Jar Type]]="", "", TEXT(_xlfn.XLOOKUP(Jars[[#This Row],[Jar Type]], Containers!A:A, Containers!C:C), "General"))</f>
        <v>1892.7</v>
      </c>
      <c r="F38" s="19" t="s">
        <v>6</v>
      </c>
      <c r="G38" s="17" t="s">
        <v>479</v>
      </c>
      <c r="H38" s="20" t="s">
        <v>452</v>
      </c>
      <c r="I38" s="20" t="str" cm="1">
        <f t="array" aca="1" ref="I3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8" s="20" t="str" cm="1">
        <f t="array" aca="1" ref="J3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8" s="17" t="s">
        <v>457</v>
      </c>
      <c r="L38" s="17" t="s">
        <v>362</v>
      </c>
      <c r="M38" s="17" t="s">
        <v>362</v>
      </c>
      <c r="N38" s="19" t="s">
        <v>82</v>
      </c>
      <c r="O38" s="17" t="s">
        <v>491</v>
      </c>
      <c r="P38" s="17">
        <f ca="1">IFERROR(VALUE(Jars[[#This Row],[Fertilizer Added (g)]]), 0)</f>
        <v>1.71</v>
      </c>
      <c r="Q38" t="s">
        <v>8</v>
      </c>
      <c r="R38" s="17" t="s">
        <v>364</v>
      </c>
      <c r="S38" s="17" t="s">
        <v>492</v>
      </c>
      <c r="T38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8" s="19" t="s">
        <v>6</v>
      </c>
      <c r="X38" s="19">
        <f ca="1">IFERROR(SUM(_xlfn.SINGLE(Jars[Fertilizer Added]), _xlfn.XLOOKUP(_xlfn.SINGLE(Jars[Jar]), JarsPlusPlus_2[Jar], JarsPlusPlus_2[C:Total Fertilizer Added (g)])), _xlfn.SINGLE(Jars[Fertilizer Added]))</f>
        <v>2.4039999999999999</v>
      </c>
      <c r="Y38" s="17" t="s">
        <v>369</v>
      </c>
      <c r="Z38" s="17" t="s">
        <v>370</v>
      </c>
      <c r="AA38" s="17" t="s">
        <v>493</v>
      </c>
    </row>
    <row r="39" spans="1:27">
      <c r="A39" t="s">
        <v>494</v>
      </c>
      <c r="B39" s="19" t="s">
        <v>40</v>
      </c>
      <c r="C39" s="17" t="s">
        <v>495</v>
      </c>
      <c r="D39" s="20" t="s">
        <v>450</v>
      </c>
      <c r="E39" s="17" t="str">
        <f ca="1">IF(Jars[[#This Row],[Jar Type]]="", "", TEXT(_xlfn.XLOOKUP(Jars[[#This Row],[Jar Type]], Containers!A:A, Containers!C:C), "General"))</f>
        <v>1892.7</v>
      </c>
      <c r="F39" s="19" t="s">
        <v>6</v>
      </c>
      <c r="G39" s="17" t="s">
        <v>479</v>
      </c>
      <c r="H39" s="20" t="s">
        <v>452</v>
      </c>
      <c r="I39" s="20" t="str" cm="1">
        <f t="array" aca="1" ref="I3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9" s="20" t="str" cm="1">
        <f t="array" aca="1" ref="J3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9" s="17" t="s">
        <v>461</v>
      </c>
      <c r="L39" s="17" t="s">
        <v>362</v>
      </c>
      <c r="M39" s="17" t="s">
        <v>362</v>
      </c>
      <c r="N39" s="19" t="s">
        <v>82</v>
      </c>
      <c r="O39" s="17" t="s">
        <v>496</v>
      </c>
      <c r="P39" s="17">
        <f ca="1">IFERROR(VALUE(Jars[[#This Row],[Fertilizer Added (g)]]), 0)</f>
        <v>1.66</v>
      </c>
      <c r="Q39" t="s">
        <v>8</v>
      </c>
      <c r="R39" s="17" t="s">
        <v>379</v>
      </c>
      <c r="S39" s="17" t="s">
        <v>497</v>
      </c>
      <c r="T39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9" s="17" t="s">
        <v>362</v>
      </c>
      <c r="X39" s="17">
        <f ca="1">IFERROR(SUM(_xlfn.SINGLE(Jars[Fertilizer Added]), _xlfn.XLOOKUP(_xlfn.SINGLE(Jars[Jar]), JarsPlusPlus_2[Jar], JarsPlusPlus_2[C:Total Fertilizer Added (g)])), _xlfn.SINGLE(Jars[Fertilizer Added]))</f>
        <v>2.552</v>
      </c>
      <c r="Y39" s="17" t="s">
        <v>369</v>
      </c>
      <c r="Z39" s="17" t="s">
        <v>370</v>
      </c>
    </row>
    <row r="40" spans="1:27">
      <c r="A40" t="s">
        <v>498</v>
      </c>
      <c r="B40" s="19" t="s">
        <v>40</v>
      </c>
      <c r="C40" s="17" t="s">
        <v>498</v>
      </c>
      <c r="D40" s="20" t="s">
        <v>450</v>
      </c>
      <c r="E40" s="17" t="str">
        <f ca="1">IF(Jars[[#This Row],[Jar Type]]="", "", TEXT(_xlfn.XLOOKUP(Jars[[#This Row],[Jar Type]], Containers!A:A, Containers!C:C), "General"))</f>
        <v>1892.7</v>
      </c>
      <c r="F40" s="19" t="s">
        <v>6</v>
      </c>
      <c r="G40" s="17" t="s">
        <v>479</v>
      </c>
      <c r="H40" s="20" t="s">
        <v>452</v>
      </c>
      <c r="I40" s="20" t="str" cm="1">
        <f t="array" aca="1" ref="I4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0" s="20" t="str" cm="1">
        <f t="array" aca="1" ref="J4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0" s="17" t="s">
        <v>465</v>
      </c>
      <c r="L40" s="17" t="s">
        <v>362</v>
      </c>
      <c r="M40" s="17" t="s">
        <v>362</v>
      </c>
      <c r="N40" s="19" t="s">
        <v>82</v>
      </c>
      <c r="O40" s="17" t="s">
        <v>499</v>
      </c>
      <c r="P40" s="17">
        <f ca="1">IFERROR(VALUE(Jars[[#This Row],[Fertilizer Added (g)]]), 0)</f>
        <v>1.61</v>
      </c>
      <c r="Q40" t="s">
        <v>8</v>
      </c>
      <c r="R40" s="17" t="s">
        <v>379</v>
      </c>
      <c r="S40" s="17" t="s">
        <v>500</v>
      </c>
      <c r="T4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0" s="17" t="s">
        <v>362</v>
      </c>
      <c r="X40" s="17">
        <f ca="1">IFERROR(SUM(_xlfn.SINGLE(Jars[Fertilizer Added]), _xlfn.XLOOKUP(_xlfn.SINGLE(Jars[Jar]), JarsPlusPlus_2[Jar], JarsPlusPlus_2[C:Total Fertilizer Added (g)])), _xlfn.SINGLE(Jars[Fertilizer Added]))</f>
        <v>1.61</v>
      </c>
      <c r="Y40" s="17" t="s">
        <v>369</v>
      </c>
      <c r="Z40" s="17" t="s">
        <v>370</v>
      </c>
    </row>
    <row r="41" spans="1:27">
      <c r="A41" t="s">
        <v>147</v>
      </c>
      <c r="B41" s="19" t="s">
        <v>40</v>
      </c>
      <c r="C41" s="17" t="s">
        <v>147</v>
      </c>
      <c r="D41" s="20" t="s">
        <v>450</v>
      </c>
      <c r="E41" s="17" t="str">
        <f ca="1">IF(Jars[[#This Row],[Jar Type]]="", "", TEXT(_xlfn.XLOOKUP(Jars[[#This Row],[Jar Type]], Containers!A:A, Containers!C:C), "General"))</f>
        <v>1892.7</v>
      </c>
      <c r="F41" s="19" t="s">
        <v>6</v>
      </c>
      <c r="G41" s="17" t="s">
        <v>479</v>
      </c>
      <c r="H41" s="20" t="s">
        <v>452</v>
      </c>
      <c r="I41" s="20" t="str" cm="1">
        <f t="array" aca="1" ref="I4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1" s="20" t="str" cm="1">
        <f t="array" aca="1" ref="J4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1" s="17" t="s">
        <v>501</v>
      </c>
      <c r="L41" s="17" t="s">
        <v>362</v>
      </c>
      <c r="M41" s="17" t="s">
        <v>362</v>
      </c>
      <c r="N41" s="19" t="s">
        <v>82</v>
      </c>
      <c r="O41" s="17" t="s">
        <v>502</v>
      </c>
      <c r="P41" s="17">
        <f ca="1">IFERROR(VALUE(Jars[[#This Row],[Fertilizer Added (g)]]), 0)</f>
        <v>1.54</v>
      </c>
      <c r="Q41" t="s">
        <v>8</v>
      </c>
      <c r="R41" s="17" t="s">
        <v>379</v>
      </c>
      <c r="S41" s="17" t="s">
        <v>503</v>
      </c>
      <c r="T41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1" s="17" t="s">
        <v>362</v>
      </c>
      <c r="X41" s="17">
        <f ca="1">IFERROR(SUM(_xlfn.SINGLE(Jars[Fertilizer Added]), _xlfn.XLOOKUP(_xlfn.SINGLE(Jars[Jar]), JarsPlusPlus_2[Jar], JarsPlusPlus_2[C:Total Fertilizer Added (g)])), _xlfn.SINGLE(Jars[Fertilizer Added]))</f>
        <v>1.54</v>
      </c>
      <c r="Y41" s="17" t="s">
        <v>369</v>
      </c>
      <c r="Z41" s="17" t="s">
        <v>370</v>
      </c>
    </row>
    <row r="42" spans="1:27">
      <c r="A42" t="s">
        <v>504</v>
      </c>
      <c r="B42" s="17" t="s">
        <v>54</v>
      </c>
      <c r="C42" s="8" t="s">
        <v>317</v>
      </c>
      <c r="D42" s="17" t="s">
        <v>473</v>
      </c>
      <c r="E42" s="17" t="str">
        <f ca="1">IF(Jars[[#This Row],[Jar Type]]="", "", TEXT(_xlfn.XLOOKUP(Jars[[#This Row],[Jar Type]], Containers!A:A, Containers!C:C), "General"))</f>
        <v>361</v>
      </c>
      <c r="F42" s="19" t="s">
        <v>6</v>
      </c>
      <c r="G42" s="19" t="s">
        <v>505</v>
      </c>
      <c r="H42" s="20" t="s">
        <v>452</v>
      </c>
      <c r="I42" s="20" t="str" cm="1">
        <f t="array" aca="1" ref="I4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2" s="20" t="str" cm="1">
        <f t="array" aca="1" ref="J4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2" s="17" t="s">
        <v>474</v>
      </c>
      <c r="L42" s="17" t="s">
        <v>362</v>
      </c>
      <c r="M42" s="17" t="s">
        <v>362</v>
      </c>
      <c r="N42" s="19" t="s">
        <v>82</v>
      </c>
      <c r="O42" s="17" t="s">
        <v>44</v>
      </c>
      <c r="P42" s="17">
        <f ca="1">IFERROR(VALUE(Jars[[#This Row],[Fertilizer Added (g)]]), 0)</f>
        <v>0</v>
      </c>
      <c r="Q42" t="s">
        <v>8</v>
      </c>
      <c r="R42" s="17" t="s">
        <v>362</v>
      </c>
      <c r="S42" s="17" t="s">
        <v>362</v>
      </c>
      <c r="T42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42" s="17" t="s">
        <v>362</v>
      </c>
      <c r="X42" s="17">
        <f ca="1">IFERROR(SUM(_xlfn.SINGLE(Jars[Fertilizer Added]), _xlfn.XLOOKUP(_xlfn.SINGLE(Jars[Jar]), JarsPlusPlus_2[Jar], JarsPlusPlus_2[C:Total Fertilizer Added (g)])), _xlfn.SINGLE(Jars[Fertilizer Added]))</f>
        <v>0</v>
      </c>
      <c r="Y42" s="17" t="s">
        <v>481</v>
      </c>
      <c r="Z42" s="17" t="s">
        <v>370</v>
      </c>
    </row>
    <row r="43" spans="1:27">
      <c r="A43" t="s">
        <v>506</v>
      </c>
      <c r="B43" s="17" t="s">
        <v>59</v>
      </c>
      <c r="C43" s="8" t="s">
        <v>317</v>
      </c>
      <c r="D43" s="17" t="s">
        <v>473</v>
      </c>
      <c r="E43" s="17" t="str">
        <f ca="1">IF(Jars[[#This Row],[Jar Type]]="", "", TEXT(_xlfn.XLOOKUP(Jars[[#This Row],[Jar Type]], Containers!A:A, Containers!C:C), "General"))</f>
        <v>250</v>
      </c>
      <c r="F43" s="19" t="s">
        <v>6</v>
      </c>
      <c r="G43" s="19" t="s">
        <v>507</v>
      </c>
      <c r="H43" s="20" t="s">
        <v>452</v>
      </c>
      <c r="I43" s="20" t="str" cm="1">
        <f t="array" aca="1" ref="I4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3" s="20" t="str" cm="1">
        <f t="array" aca="1" ref="J4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3" s="19" t="s">
        <v>508</v>
      </c>
      <c r="L43" s="17" t="s">
        <v>362</v>
      </c>
      <c r="M43" s="17" t="s">
        <v>362</v>
      </c>
      <c r="N43" s="19" t="s">
        <v>82</v>
      </c>
      <c r="O43" s="17" t="s">
        <v>44</v>
      </c>
      <c r="P43" s="17">
        <f ca="1">IFERROR(VALUE(Jars[[#This Row],[Fertilizer Added (g)]]), 0)</f>
        <v>0</v>
      </c>
      <c r="Q43" t="s">
        <v>8</v>
      </c>
      <c r="R43" s="17" t="s">
        <v>362</v>
      </c>
      <c r="S43" s="17" t="s">
        <v>362</v>
      </c>
      <c r="T4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3" s="19" t="s">
        <v>6</v>
      </c>
      <c r="X43" s="19">
        <f ca="1">IFERROR(SUM(_xlfn.SINGLE(Jars[Fertilizer Added]), _xlfn.XLOOKUP(_xlfn.SINGLE(Jars[Jar]), JarsPlusPlus_2[Jar], JarsPlusPlus_2[C:Total Fertilizer Added (g)])), _xlfn.SINGLE(Jars[Fertilizer Added]))</f>
        <v>0</v>
      </c>
      <c r="Y43" s="17" t="s">
        <v>509</v>
      </c>
      <c r="Z43" s="17" t="s">
        <v>370</v>
      </c>
      <c r="AA43" s="17" t="s">
        <v>510</v>
      </c>
    </row>
    <row r="44" spans="1:27">
      <c r="A44" t="s">
        <v>511</v>
      </c>
      <c r="B44" s="20" t="s">
        <v>59</v>
      </c>
      <c r="C44" s="8" t="s">
        <v>317</v>
      </c>
      <c r="D44" s="19" t="s">
        <v>473</v>
      </c>
      <c r="E44" s="17" t="str">
        <f ca="1">IF(Jars[[#This Row],[Jar Type]]="", "", TEXT(_xlfn.XLOOKUP(Jars[[#This Row],[Jar Type]], Containers!A:A, Containers!C:C), "General"))</f>
        <v>250</v>
      </c>
      <c r="F44" s="19" t="s">
        <v>6</v>
      </c>
      <c r="G44" s="21" t="s">
        <v>507</v>
      </c>
      <c r="H44" s="20" t="s">
        <v>452</v>
      </c>
      <c r="I44" s="20" t="str" cm="1">
        <f t="array" aca="1" ref="I4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4" s="20" t="str" cm="1">
        <f t="array" aca="1" ref="J4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4" s="21" t="s">
        <v>508</v>
      </c>
      <c r="L44" s="17" t="s">
        <v>362</v>
      </c>
      <c r="M44" s="17" t="s">
        <v>362</v>
      </c>
      <c r="N44" s="19" t="s">
        <v>82</v>
      </c>
      <c r="O44" s="17" t="s">
        <v>44</v>
      </c>
      <c r="P44" s="17">
        <f ca="1">IFERROR(VALUE(Jars[[#This Row],[Fertilizer Added (g)]]), 0)</f>
        <v>0</v>
      </c>
      <c r="Q44" t="s">
        <v>8</v>
      </c>
      <c r="R44" s="17" t="s">
        <v>362</v>
      </c>
      <c r="S44" s="17" t="s">
        <v>362</v>
      </c>
      <c r="T4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4" s="19" t="s">
        <v>6</v>
      </c>
      <c r="X44" s="19">
        <f ca="1">IFERROR(SUM(_xlfn.SINGLE(Jars[Fertilizer Added]), _xlfn.XLOOKUP(_xlfn.SINGLE(Jars[Jar]), JarsPlusPlus_2[Jar], JarsPlusPlus_2[C:Total Fertilizer Added (g)])), _xlfn.SINGLE(Jars[Fertilizer Added]))</f>
        <v>0</v>
      </c>
      <c r="Y44" s="20" t="s">
        <v>509</v>
      </c>
      <c r="Z44" s="17" t="s">
        <v>370</v>
      </c>
      <c r="AA44" s="3" t="s">
        <v>510</v>
      </c>
    </row>
    <row r="45" spans="1:27">
      <c r="A45" t="s">
        <v>512</v>
      </c>
      <c r="B45" s="20" t="s">
        <v>59</v>
      </c>
      <c r="C45" s="8" t="s">
        <v>317</v>
      </c>
      <c r="D45" s="19" t="s">
        <v>473</v>
      </c>
      <c r="E45" s="17" t="str">
        <f ca="1">IF(Jars[[#This Row],[Jar Type]]="", "", TEXT(_xlfn.XLOOKUP(Jars[[#This Row],[Jar Type]], Containers!A:A, Containers!C:C), "General"))</f>
        <v>250</v>
      </c>
      <c r="F45" s="19" t="s">
        <v>6</v>
      </c>
      <c r="G45" s="21" t="s">
        <v>507</v>
      </c>
      <c r="H45" s="20" t="s">
        <v>452</v>
      </c>
      <c r="I45" s="20" t="str" cm="1">
        <f t="array" aca="1" ref="I4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5" s="20" t="str" cm="1">
        <f t="array" aca="1" ref="J4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5" s="21" t="s">
        <v>508</v>
      </c>
      <c r="L45" s="17" t="s">
        <v>362</v>
      </c>
      <c r="M45" s="17" t="s">
        <v>362</v>
      </c>
      <c r="N45" s="19" t="s">
        <v>82</v>
      </c>
      <c r="O45" s="17" t="s">
        <v>44</v>
      </c>
      <c r="P45" s="17">
        <f ca="1">IFERROR(VALUE(Jars[[#This Row],[Fertilizer Added (g)]]), 0)</f>
        <v>0</v>
      </c>
      <c r="Q45" t="s">
        <v>8</v>
      </c>
      <c r="R45" s="17" t="s">
        <v>362</v>
      </c>
      <c r="S45" s="17" t="s">
        <v>362</v>
      </c>
      <c r="T4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5" s="19" t="s">
        <v>6</v>
      </c>
      <c r="X45" s="19">
        <f ca="1">IFERROR(SUM(_xlfn.SINGLE(Jars[Fertilizer Added]), _xlfn.XLOOKUP(_xlfn.SINGLE(Jars[Jar]), JarsPlusPlus_2[Jar], JarsPlusPlus_2[C:Total Fertilizer Added (g)])), _xlfn.SINGLE(Jars[Fertilizer Added]))</f>
        <v>0</v>
      </c>
      <c r="Y45" s="20" t="s">
        <v>509</v>
      </c>
      <c r="Z45" s="17" t="s">
        <v>370</v>
      </c>
      <c r="AA45" s="3" t="s">
        <v>510</v>
      </c>
    </row>
    <row r="46" spans="1:27">
      <c r="A46" t="s">
        <v>513</v>
      </c>
      <c r="B46" s="17" t="s">
        <v>59</v>
      </c>
      <c r="C46" s="8" t="s">
        <v>317</v>
      </c>
      <c r="D46" s="17" t="s">
        <v>473</v>
      </c>
      <c r="E46" s="17" t="str">
        <f ca="1">IF(Jars[[#This Row],[Jar Type]]="", "", TEXT(_xlfn.XLOOKUP(Jars[[#This Row],[Jar Type]], Containers!A:A, Containers!C:C), "General"))</f>
        <v>250</v>
      </c>
      <c r="F46" s="19" t="s">
        <v>44</v>
      </c>
      <c r="G46" s="19" t="s">
        <v>514</v>
      </c>
      <c r="H46" s="20" t="s">
        <v>452</v>
      </c>
      <c r="I46" s="20" t="str" cm="1">
        <f t="array" aca="1" ref="I4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6" s="20" t="str" cm="1">
        <f t="array" aca="1" ref="J4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6" s="19" t="s">
        <v>159</v>
      </c>
      <c r="L46" s="17" t="s">
        <v>362</v>
      </c>
      <c r="M46" s="17" t="s">
        <v>362</v>
      </c>
      <c r="N46" s="19" t="s">
        <v>82</v>
      </c>
      <c r="O46" s="17" t="s">
        <v>44</v>
      </c>
      <c r="P46" s="17">
        <f ca="1">IFERROR(VALUE(Jars[[#This Row],[Fertilizer Added (g)]]), 0)</f>
        <v>0</v>
      </c>
      <c r="Q46" t="s">
        <v>8</v>
      </c>
      <c r="R46" s="17" t="s">
        <v>362</v>
      </c>
      <c r="S46" s="17" t="s">
        <v>362</v>
      </c>
      <c r="T46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6" s="19" t="s">
        <v>44</v>
      </c>
      <c r="X46" s="19">
        <f ca="1">IFERROR(SUM(_xlfn.SINGLE(Jars[Fertilizer Added]), _xlfn.XLOOKUP(_xlfn.SINGLE(Jars[Jar]), JarsPlusPlus_2[Jar], JarsPlusPlus_2[C:Total Fertilizer Added (g)])), _xlfn.SINGLE(Jars[Fertilizer Added]))</f>
        <v>0</v>
      </c>
      <c r="Y46" s="17" t="s">
        <v>509</v>
      </c>
      <c r="Z46" s="17" t="s">
        <v>370</v>
      </c>
    </row>
    <row r="47" spans="1:27">
      <c r="A47" t="s">
        <v>515</v>
      </c>
      <c r="B47" s="20" t="s">
        <v>59</v>
      </c>
      <c r="C47" s="8" t="s">
        <v>317</v>
      </c>
      <c r="D47" s="19" t="s">
        <v>473</v>
      </c>
      <c r="E47" s="17" t="str">
        <f ca="1">IF(Jars[[#This Row],[Jar Type]]="", "", TEXT(_xlfn.XLOOKUP(Jars[[#This Row],[Jar Type]], Containers!A:A, Containers!C:C), "General"))</f>
        <v>250</v>
      </c>
      <c r="F47" s="19" t="s">
        <v>44</v>
      </c>
      <c r="G47" s="21" t="s">
        <v>514</v>
      </c>
      <c r="H47" s="20" t="s">
        <v>452</v>
      </c>
      <c r="I47" s="20" t="str" cm="1">
        <f t="array" aca="1" ref="I4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7" s="20" t="str" cm="1">
        <f t="array" aca="1" ref="J4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7" s="21" t="s">
        <v>516</v>
      </c>
      <c r="L47" s="17" t="s">
        <v>362</v>
      </c>
      <c r="M47" s="17" t="s">
        <v>362</v>
      </c>
      <c r="N47" s="19" t="s">
        <v>82</v>
      </c>
      <c r="O47" s="17" t="s">
        <v>44</v>
      </c>
      <c r="P47" s="17">
        <f ca="1">IFERROR(VALUE(Jars[[#This Row],[Fertilizer Added (g)]]), 0)</f>
        <v>0</v>
      </c>
      <c r="Q47" t="s">
        <v>8</v>
      </c>
      <c r="R47" s="17" t="s">
        <v>362</v>
      </c>
      <c r="S47" s="17" t="s">
        <v>362</v>
      </c>
      <c r="T47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7" s="19" t="s">
        <v>44</v>
      </c>
      <c r="X47" s="19">
        <f ca="1">IFERROR(SUM(_xlfn.SINGLE(Jars[Fertilizer Added]), _xlfn.XLOOKUP(_xlfn.SINGLE(Jars[Jar]), JarsPlusPlus_2[Jar], JarsPlusPlus_2[C:Total Fertilizer Added (g)])), _xlfn.SINGLE(Jars[Fertilizer Added]))</f>
        <v>0</v>
      </c>
      <c r="Y47" s="20" t="s">
        <v>509</v>
      </c>
      <c r="Z47" s="17" t="s">
        <v>370</v>
      </c>
    </row>
    <row r="48" spans="1:27">
      <c r="A48" t="s">
        <v>517</v>
      </c>
      <c r="B48" s="20" t="s">
        <v>59</v>
      </c>
      <c r="C48" s="8" t="s">
        <v>317</v>
      </c>
      <c r="D48" s="19" t="s">
        <v>473</v>
      </c>
      <c r="E48" s="17" t="str">
        <f ca="1">IF(Jars[[#This Row],[Jar Type]]="", "", TEXT(_xlfn.XLOOKUP(Jars[[#This Row],[Jar Type]], Containers!A:A, Containers!C:C), "General"))</f>
        <v>250</v>
      </c>
      <c r="F48" s="19" t="s">
        <v>44</v>
      </c>
      <c r="G48" s="21" t="s">
        <v>514</v>
      </c>
      <c r="H48" s="20" t="s">
        <v>452</v>
      </c>
      <c r="I48" s="20" t="str" cm="1">
        <f t="array" aca="1" ref="I4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8" s="20" t="str" cm="1">
        <f t="array" aca="1" ref="J4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8" s="21" t="s">
        <v>518</v>
      </c>
      <c r="L48" s="17" t="s">
        <v>362</v>
      </c>
      <c r="M48" s="17" t="s">
        <v>362</v>
      </c>
      <c r="N48" s="19" t="s">
        <v>82</v>
      </c>
      <c r="O48" s="17" t="s">
        <v>44</v>
      </c>
      <c r="P48" s="17">
        <f ca="1">IFERROR(VALUE(Jars[[#This Row],[Fertilizer Added (g)]]), 0)</f>
        <v>0</v>
      </c>
      <c r="Q48" t="s">
        <v>8</v>
      </c>
      <c r="R48" s="17" t="s">
        <v>362</v>
      </c>
      <c r="S48" s="17" t="s">
        <v>362</v>
      </c>
      <c r="T48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8" s="19" t="s">
        <v>44</v>
      </c>
      <c r="X48" s="19">
        <f ca="1">IFERROR(SUM(_xlfn.SINGLE(Jars[Fertilizer Added]), _xlfn.XLOOKUP(_xlfn.SINGLE(Jars[Jar]), JarsPlusPlus_2[Jar], JarsPlusPlus_2[C:Total Fertilizer Added (g)])), _xlfn.SINGLE(Jars[Fertilizer Added]))</f>
        <v>0</v>
      </c>
      <c r="Y48" s="20" t="s">
        <v>509</v>
      </c>
      <c r="Z48" s="17" t="s">
        <v>370</v>
      </c>
    </row>
    <row r="49" spans="1:26">
      <c r="A49" s="10" t="s">
        <v>519</v>
      </c>
      <c r="B49" s="19" t="s">
        <v>40</v>
      </c>
      <c r="D49" s="17" t="s">
        <v>450</v>
      </c>
      <c r="E49" s="17" t="str">
        <f ca="1">IF(Jars[[#This Row],[Jar Type]]="", "", TEXT(_xlfn.XLOOKUP(Jars[[#This Row],[Jar Type]], Containers!A:A, Containers!C:C), "General"))</f>
        <v>1892.7</v>
      </c>
      <c r="F49" s="19" t="s">
        <v>6</v>
      </c>
      <c r="G49" s="19" t="s">
        <v>520</v>
      </c>
      <c r="H49" s="23" t="s">
        <v>452</v>
      </c>
      <c r="I49" s="20" t="str" cm="1">
        <f t="array" aca="1" ref="I4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9" s="20" t="str" cm="1">
        <f t="array" aca="1" ref="J4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9" s="19" t="s">
        <v>375</v>
      </c>
      <c r="L49" s="17" t="s">
        <v>362</v>
      </c>
      <c r="M49" s="17" t="s">
        <v>362</v>
      </c>
      <c r="N49" s="19" t="s">
        <v>82</v>
      </c>
      <c r="P49" s="17">
        <f ca="1">IFERROR(VALUE(Jars[[#This Row],[Fertilizer Added (g)]]), 0)</f>
        <v>0</v>
      </c>
      <c r="Q49" t="s">
        <v>8</v>
      </c>
      <c r="T49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9" s="19" t="s">
        <v>44</v>
      </c>
      <c r="X49" s="17">
        <f ca="1">IFERROR(SUM(_xlfn.SINGLE(Jars[Fertilizer Added]), _xlfn.XLOOKUP(_xlfn.SINGLE(Jars[Jar]), JarsPlusPlus_2[Jar], JarsPlusPlus_2[C:Total Fertilizer Added (g)])), _xlfn.SINGLE(Jars[Fertilizer Added]))</f>
        <v>0</v>
      </c>
      <c r="Y49" s="17" t="s">
        <v>369</v>
      </c>
      <c r="Z49" s="17" t="s">
        <v>370</v>
      </c>
    </row>
    <row r="50" spans="1:26">
      <c r="A50" s="10" t="s">
        <v>521</v>
      </c>
      <c r="B50" s="19" t="s">
        <v>40</v>
      </c>
      <c r="D50" s="3" t="s">
        <v>450</v>
      </c>
      <c r="E50" s="17" t="str">
        <f ca="1">IF(Jars[[#This Row],[Jar Type]]="", "", TEXT(_xlfn.XLOOKUP(Jars[[#This Row],[Jar Type]], Containers!A:A, Containers!C:C), "General"))</f>
        <v>1892.7</v>
      </c>
      <c r="F50" s="19" t="s">
        <v>6</v>
      </c>
      <c r="G50" s="19" t="s">
        <v>520</v>
      </c>
      <c r="H50" s="23" t="s">
        <v>452</v>
      </c>
      <c r="I50" s="20" t="str" cm="1">
        <f t="array" aca="1" ref="I5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0" s="20" t="str" cm="1">
        <f t="array" aca="1" ref="J5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0" s="19" t="s">
        <v>375</v>
      </c>
      <c r="L50" s="17" t="s">
        <v>362</v>
      </c>
      <c r="M50" s="17" t="s">
        <v>362</v>
      </c>
      <c r="N50" s="19" t="s">
        <v>82</v>
      </c>
      <c r="P50" s="17">
        <f ca="1">IFERROR(VALUE(Jars[[#This Row],[Fertilizer Added (g)]]), 0)</f>
        <v>0</v>
      </c>
      <c r="Q50" t="s">
        <v>8</v>
      </c>
      <c r="T5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50" s="8" t="s">
        <v>44</v>
      </c>
      <c r="X50" s="17">
        <f ca="1">IFERROR(SUM(_xlfn.SINGLE(Jars[Fertilizer Added]), _xlfn.XLOOKUP(_xlfn.SINGLE(Jars[Jar]), JarsPlusPlus_2[Jar], JarsPlusPlus_2[C:Total Fertilizer Added (g)])), _xlfn.SINGLE(Jars[Fertilizer Added]))</f>
        <v>0</v>
      </c>
      <c r="Y50" s="17" t="s">
        <v>369</v>
      </c>
      <c r="Z50" s="17" t="s">
        <v>370</v>
      </c>
    </row>
    <row r="51" spans="1:26">
      <c r="A51" s="10" t="s">
        <v>522</v>
      </c>
      <c r="B51" s="17" t="s">
        <v>42</v>
      </c>
      <c r="C51" s="8" t="s">
        <v>317</v>
      </c>
      <c r="D51" s="17" t="s">
        <v>473</v>
      </c>
      <c r="E51" s="17" t="str">
        <f ca="1">IF(Jars[[#This Row],[Jar Type]]="", "", TEXT(_xlfn.XLOOKUP(Jars[[#This Row],[Jar Type]], Containers!A:A, Containers!C:C), "General"))</f>
        <v>371</v>
      </c>
      <c r="F51" s="19" t="s">
        <v>6</v>
      </c>
      <c r="G51" s="19" t="s">
        <v>520</v>
      </c>
      <c r="H51" s="23" t="s">
        <v>452</v>
      </c>
      <c r="I51" s="20" t="str" cm="1">
        <f t="array" aca="1" ref="I5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1" s="20" t="str" cm="1">
        <f t="array" aca="1" ref="J5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1" s="19" t="s">
        <v>474</v>
      </c>
      <c r="L51" s="17" t="s">
        <v>362</v>
      </c>
      <c r="M51" s="17" t="s">
        <v>362</v>
      </c>
      <c r="N51" s="19" t="s">
        <v>82</v>
      </c>
      <c r="O51" s="19" t="s">
        <v>523</v>
      </c>
      <c r="P51" s="19">
        <f ca="1">IFERROR(VALUE(Jars[[#This Row],[Fertilizer Added (g)]]), 0)</f>
        <v>0.28000000000000003</v>
      </c>
      <c r="Q51" t="s">
        <v>8</v>
      </c>
      <c r="R51" s="19" t="s">
        <v>184</v>
      </c>
      <c r="S51" s="19" t="s">
        <v>524</v>
      </c>
      <c r="T51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1" s="8" t="s">
        <v>44</v>
      </c>
      <c r="X51" s="17">
        <f ca="1">IFERROR(SUM(_xlfn.SINGLE(Jars[Fertilizer Added]), _xlfn.XLOOKUP(_xlfn.SINGLE(Jars[Jar]), JarsPlusPlus_2[Jar], JarsPlusPlus_2[C:Total Fertilizer Added (g)])), _xlfn.SINGLE(Jars[Fertilizer Added]))</f>
        <v>0.28000000000000003</v>
      </c>
      <c r="Y51" s="20" t="s">
        <v>509</v>
      </c>
      <c r="Z51" s="17" t="s">
        <v>370</v>
      </c>
    </row>
    <row r="52" spans="1:26">
      <c r="A52" s="10" t="s">
        <v>525</v>
      </c>
      <c r="B52" s="17" t="s">
        <v>54</v>
      </c>
      <c r="C52" s="8" t="s">
        <v>317</v>
      </c>
      <c r="D52" s="3" t="s">
        <v>473</v>
      </c>
      <c r="E52" s="17" t="str">
        <f ca="1">IF(Jars[[#This Row],[Jar Type]]="", "", TEXT(_xlfn.XLOOKUP(Jars[[#This Row],[Jar Type]], Containers!A:A, Containers!C:C), "General"))</f>
        <v>361</v>
      </c>
      <c r="F52" s="19" t="s">
        <v>6</v>
      </c>
      <c r="G52" s="19" t="s">
        <v>520</v>
      </c>
      <c r="H52" s="23" t="s">
        <v>452</v>
      </c>
      <c r="I52" s="20" t="str" cm="1">
        <f t="array" aca="1" ref="I5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2" s="20" t="str" cm="1">
        <f t="array" aca="1" ref="J5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2" s="19" t="s">
        <v>526</v>
      </c>
      <c r="L52" s="17" t="s">
        <v>362</v>
      </c>
      <c r="M52" s="17" t="s">
        <v>362</v>
      </c>
      <c r="N52" s="19" t="s">
        <v>82</v>
      </c>
      <c r="O52" s="19" t="s">
        <v>527</v>
      </c>
      <c r="P52" s="19">
        <f ca="1">IFERROR(VALUE(Jars[[#This Row],[Fertilizer Added (g)]]), 0)</f>
        <v>0.3</v>
      </c>
      <c r="Q52" t="s">
        <v>8</v>
      </c>
      <c r="R52" s="19" t="s">
        <v>185</v>
      </c>
      <c r="S52" s="19" t="s">
        <v>528</v>
      </c>
      <c r="T52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2" s="8" t="s">
        <v>44</v>
      </c>
      <c r="X52" s="17">
        <f ca="1">IFERROR(SUM(_xlfn.SINGLE(Jars[Fertilizer Added]), _xlfn.XLOOKUP(_xlfn.SINGLE(Jars[Jar]), JarsPlusPlus_2[Jar], JarsPlusPlus_2[C:Total Fertilizer Added (g)])), _xlfn.SINGLE(Jars[Fertilizer Added]))</f>
        <v>0.3</v>
      </c>
      <c r="Y52" s="20" t="s">
        <v>509</v>
      </c>
      <c r="Z52" s="17" t="s">
        <v>370</v>
      </c>
    </row>
    <row r="53" spans="1:26">
      <c r="A53" s="10" t="s">
        <v>529</v>
      </c>
      <c r="B53" s="17" t="s">
        <v>48</v>
      </c>
      <c r="C53" s="8" t="s">
        <v>317</v>
      </c>
      <c r="D53" s="3" t="s">
        <v>473</v>
      </c>
      <c r="E53" s="17" t="str">
        <f ca="1">IF(Jars[[#This Row],[Jar Type]]="", "", TEXT(_xlfn.XLOOKUP(Jars[[#This Row],[Jar Type]], Containers!A:A, Containers!C:C), "General"))</f>
        <v>354</v>
      </c>
      <c r="F53" s="19" t="s">
        <v>6</v>
      </c>
      <c r="G53" s="19" t="s">
        <v>520</v>
      </c>
      <c r="H53" s="23" t="s">
        <v>452</v>
      </c>
      <c r="I53" s="20" t="str" cm="1">
        <f t="array" aca="1" ref="I5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3" s="20" t="str" cm="1">
        <f t="array" aca="1" ref="J5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3" s="19" t="s">
        <v>60</v>
      </c>
      <c r="L53" s="17" t="s">
        <v>362</v>
      </c>
      <c r="M53" s="17" t="s">
        <v>362</v>
      </c>
      <c r="N53" s="19" t="s">
        <v>82</v>
      </c>
      <c r="O53" s="19" t="s">
        <v>530</v>
      </c>
      <c r="P53" s="19">
        <f ca="1">IFERROR(VALUE(Jars[[#This Row],[Fertilizer Added (g)]]), 0)</f>
        <v>0.24</v>
      </c>
      <c r="Q53" t="s">
        <v>8</v>
      </c>
      <c r="R53" s="19" t="s">
        <v>531</v>
      </c>
      <c r="S53" s="19" t="s">
        <v>532</v>
      </c>
      <c r="T53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3" s="8" t="s">
        <v>44</v>
      </c>
      <c r="X53" s="17">
        <f ca="1">IFERROR(SUM(_xlfn.SINGLE(Jars[Fertilizer Added]), _xlfn.XLOOKUP(_xlfn.SINGLE(Jars[Jar]), JarsPlusPlus_2[Jar], JarsPlusPlus_2[C:Total Fertilizer Added (g)])), _xlfn.SINGLE(Jars[Fertilizer Added]))</f>
        <v>0.24</v>
      </c>
      <c r="Y53" s="20" t="s">
        <v>509</v>
      </c>
      <c r="Z53" s="17" t="s">
        <v>370</v>
      </c>
    </row>
    <row r="54" spans="1:26">
      <c r="E54" s="17" t="str">
        <f ca="1">IF(Jars[[#This Row],[Jar Type]]="", "", TEXT(_xlfn.XLOOKUP(Jars[[#This Row],[Jar Type]], Containers!A:A, Containers!C:C), "General"))</f>
        <v/>
      </c>
      <c r="H54" s="23"/>
      <c r="I54" s="20" t="str" cm="1">
        <f t="array" aca="1" ref="I54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4" s="20" t="str" cm="1">
        <f t="array" aca="1" ref="J54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4" s="17">
        <f ca="1">IFERROR(VALUE(Jars[[#This Row],[Fertilizer Added (g)]]), 0)</f>
        <v>0</v>
      </c>
      <c r="T54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4" s="17" t="str" cm="1">
        <f t="array" aca="1" ref="W54" ca="1">_xlfn.LET(
    _xlpm.water, Jars[[#This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5" spans="1:26">
      <c r="E55" s="17" t="str">
        <f ca="1">IF(Jars[[#This Row],[Jar Type]]="", "", TEXT(_xlfn.XLOOKUP(Jars[[#This Row],[Jar Type]], Containers!A:A, Containers!C:C), "General"))</f>
        <v/>
      </c>
      <c r="H55" s="23"/>
      <c r="I55" s="20" t="str" cm="1">
        <f t="array" aca="1" ref="I55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5" s="20" t="str" cm="1">
        <f t="array" aca="1" ref="J55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5" s="17">
        <f ca="1">IFERROR(VALUE(Jars[[#This Row],[Fertilizer Added (g)]]), 0)</f>
        <v>0</v>
      </c>
      <c r="T55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5" s="17" t="str" cm="1">
        <f t="array" aca="1" ref="W55" ca="1">_xlfn.LET(
    _xlpm.water, Jars[[#This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6" spans="1:26">
      <c r="E56" s="17" t="str">
        <f ca="1">IF(Jars[[#This Row],[Jar Type]]="", "", TEXT(_xlfn.XLOOKUP(Jars[[#This Row],[Jar Type]], Containers!A:A, Containers!C:C), "General"))</f>
        <v/>
      </c>
      <c r="H56" s="23"/>
      <c r="I56" s="20" t="str" cm="1">
        <f t="array" aca="1" ref="I56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6" s="20" t="str" cm="1">
        <f t="array" aca="1" ref="J56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6" s="17">
        <f ca="1">IFERROR(VALUE(Jars[[#This Row],[Fertilizer Added (g)]]), 0)</f>
        <v>0</v>
      </c>
      <c r="T56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6" s="17" t="str" cm="1">
        <f t="array" aca="1" ref="W56" ca="1">_xlfn.LET(
    _xlpm.water, Jars[[#This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7" spans="1:26">
      <c r="E57" s="17" t="str">
        <f ca="1">IF(Jars[[#This Row],[Jar Type]]="", "", TEXT(_xlfn.XLOOKUP(Jars[[#This Row],[Jar Type]], Containers!A:A, Containers!C:C), "General"))</f>
        <v/>
      </c>
      <c r="H57" s="23"/>
      <c r="I57" s="20" t="str" cm="1">
        <f t="array" aca="1" ref="I57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7" s="20" t="str" cm="1">
        <f t="array" aca="1" ref="J57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7" s="17">
        <f ca="1">IFERROR(VALUE(Jars[[#This Row],[Fertilizer Added (g)]]), 0)</f>
        <v>0</v>
      </c>
      <c r="T57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7" s="17" t="str" cm="1">
        <f t="array" aca="1" ref="W57" ca="1">_xlfn.LET(
    _xlpm.water, Jars[[#This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8" spans="1:26">
      <c r="E58" s="17" t="str">
        <f ca="1">IF(Jars[[#This Row],[Jar Type]]="", "", TEXT(_xlfn.XLOOKUP(Jars[[#This Row],[Jar Type]], Containers!A:A, Containers!C:C), "General"))</f>
        <v/>
      </c>
      <c r="H58" s="23"/>
      <c r="I58" s="20" t="str" cm="1">
        <f t="array" aca="1" ref="I58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8" s="20" t="str" cm="1">
        <f t="array" aca="1" ref="J58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8" s="17">
        <f ca="1">IFERROR(VALUE(Jars[[#This Row],[Fertilizer Added (g)]]), 0)</f>
        <v>0</v>
      </c>
      <c r="T58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8" s="17" t="str" cm="1">
        <f t="array" aca="1" ref="W58" ca="1">_xlfn.LET(
    _xlpm.water, Jars[[#This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9" spans="1:26">
      <c r="E59" s="17" t="str">
        <f ca="1">IF(Jars[[#This Row],[Jar Type]]="", "", TEXT(_xlfn.XLOOKUP(Jars[[#This Row],[Jar Type]], Containers!A:A, Containers!C:C), "General"))</f>
        <v/>
      </c>
      <c r="H59" s="23"/>
      <c r="I59" s="20" t="str" cm="1">
        <f t="array" aca="1" ref="I59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9" s="20" t="str" cm="1">
        <f t="array" aca="1" ref="J59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9" s="17">
        <f ca="1">IFERROR(VALUE(Jars[[#This Row],[Fertilizer Added (g)]]), 0)</f>
        <v>0</v>
      </c>
      <c r="T59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9" s="17" t="str" cm="1">
        <f t="array" aca="1" ref="W59" ca="1">_xlfn.LET(
    _xlpm.water, Jars[[#This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IFERROR(SUM(_xlfn.SINGLE(Jars[Fertilizer Added]), _xlfn.XLOOKUP(_xlfn.SINGLE(Jars[Jar]), JarsPlusPlus_2[Jar], JarsPlusPlus_2[C:Total Fertilizer Added (g)])), _xlfn.SINGLE(Jars[Fertilizer Added]))</f>
        <v>0</v>
      </c>
    </row>
    <row r="60" spans="1:26">
      <c r="E60" s="17" t="str">
        <f ca="1">IF(Jars[[#This Row],[Jar Type]]="", "", TEXT(_xlfn.XLOOKUP(Jars[[#This Row],[Jar Type]], Containers!A:A, Containers!C:C), "General"))</f>
        <v/>
      </c>
      <c r="H60" s="23"/>
      <c r="I60" s="20" t="str" cm="1">
        <f t="array" aca="1" ref="I60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60" s="20" t="str" cm="1">
        <f t="array" aca="1" ref="J60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60" s="17">
        <f ca="1">IFERROR(VALUE(Jars[[#This Row],[Fertilizer Added (g)]]), 0)</f>
        <v>0</v>
      </c>
      <c r="T60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60" s="17" t="str" cm="1">
        <f t="array" aca="1" ref="W60" ca="1">_xlfn.LET(
    _xlpm.water, Jars[[#This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IFERROR(SUM(_xlfn.SINGLE(Jars[Fertilizer Added]), _xlfn.XLOOKUP(_xlfn.SINGLE(Jars[Jar]), JarsPlusPlus_2[Jar], JarsPlusPlus_2[C:Total Fertilizer Added (g)])), _xlfn.SINGLE(Jars[Fertilizer Added]))</f>
        <v>0</v>
      </c>
    </row>
  </sheetData>
  <conditionalFormatting sqref="U11:X27">
    <cfRule type="expression" dxfId="172" priority="98">
      <formula>AND($S11="",$O11&lt;&gt;"")</formula>
    </cfRule>
  </conditionalFormatting>
  <conditionalFormatting sqref="A11:AF999999">
    <cfRule type="expression" dxfId="171" priority="8">
      <formula>AND(A11="", $A11&lt;&gt;"", A$10&lt;&gt;"")</formula>
    </cfRule>
  </conditionalFormatting>
  <conditionalFormatting sqref="W11:X27">
    <cfRule type="expression" dxfId="170" priority="6">
      <formula>AND($S11="",$O11&lt;&gt;"")</formula>
    </cfRule>
  </conditionalFormatting>
  <conditionalFormatting sqref="U11:X27">
    <cfRule type="expression" dxfId="169" priority="319">
      <formula>AND($O11="",$A11&lt;&gt;"")</formula>
    </cfRule>
  </conditionalFormatting>
  <conditionalFormatting sqref="A11:AF999999">
    <cfRule type="expression" dxfId="168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24DC-39B3-464D-B5DC-4CCFDA7619C0}">
  <dimension ref="A1:AG66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13.5703125" style="1" customWidth="1"/>
    <col min="2" max="2" width="13.7109375" style="5" customWidth="1"/>
    <col min="3" max="3" width="41.7109375" style="17" customWidth="1"/>
    <col min="4" max="4" width="14.28515625" style="1" customWidth="1"/>
    <col min="5" max="5" width="13.28515625" style="1" customWidth="1"/>
    <col min="6" max="6" width="53.5703125" style="1" customWidth="1"/>
    <col min="7" max="7" width="10" style="1" customWidth="1"/>
    <col min="8" max="8" width="23.140625" style="1" customWidth="1"/>
    <col min="9" max="9" width="23" style="5" customWidth="1"/>
    <col min="10" max="10" width="22.28515625" style="5" customWidth="1"/>
    <col min="11" max="11" width="28.5703125" style="5" customWidth="1"/>
    <col min="12" max="12" width="22.28515625" style="5" customWidth="1"/>
    <col min="13" max="13" width="24.28515625" style="1" bestFit="1" customWidth="1"/>
    <col min="14" max="14" width="18.28515625" style="5" customWidth="1"/>
    <col min="15" max="15" width="19.28515625" style="1" customWidth="1"/>
    <col min="16" max="16" width="20" style="1" customWidth="1"/>
    <col min="17" max="17" width="22.5703125" style="1" customWidth="1"/>
    <col min="18" max="18" width="24.28515625" style="1" customWidth="1"/>
    <col min="19" max="19" width="23.85546875" style="1" customWidth="1"/>
    <col min="20" max="20" width="20.5703125" style="1" customWidth="1"/>
    <col min="21" max="21" width="23.28515625" style="1" customWidth="1"/>
    <col min="22" max="22" width="25.5703125" style="1" customWidth="1"/>
    <col min="23" max="23" width="25.28515625" style="1" customWidth="1"/>
    <col min="24" max="24" width="17.5703125" style="1" customWidth="1"/>
    <col min="25" max="25" width="17.85546875" style="1" customWidth="1"/>
    <col min="26" max="26" width="24.85546875" style="1" customWidth="1"/>
    <col min="27" max="27" width="25.7109375" style="1" customWidth="1"/>
    <col min="28" max="30" width="17.85546875" style="1" customWidth="1"/>
    <col min="31" max="31" width="16.7109375" style="1" customWidth="1"/>
    <col min="32" max="32" width="19.5703125" style="1" customWidth="1"/>
    <col min="33" max="33" width="160.42578125" style="1" customWidth="1"/>
    <col min="34" max="16384" width="9.140625" style="1"/>
  </cols>
  <sheetData>
    <row r="1" spans="1:33">
      <c r="A1" s="1" t="s">
        <v>537</v>
      </c>
      <c r="C1" s="3" t="s">
        <v>538</v>
      </c>
      <c r="K1" s="3" t="s">
        <v>539</v>
      </c>
      <c r="O1" s="1" t="s">
        <v>366</v>
      </c>
      <c r="AB1" s="1" t="s">
        <v>362</v>
      </c>
      <c r="AC1" s="3" t="s">
        <v>362</v>
      </c>
      <c r="AD1" s="3" t="s">
        <v>362</v>
      </c>
    </row>
    <row r="2" spans="1:33">
      <c r="O2" s="3" t="s">
        <v>540</v>
      </c>
      <c r="AB2" s="1" t="s">
        <v>541</v>
      </c>
      <c r="AC2" s="1" t="s">
        <v>542</v>
      </c>
      <c r="AD2" s="1" t="s">
        <v>543</v>
      </c>
    </row>
    <row r="3" spans="1:33">
      <c r="O3" s="3" t="s">
        <v>544</v>
      </c>
      <c r="AB3" s="1" t="s">
        <v>545</v>
      </c>
      <c r="AC3" s="1" t="s">
        <v>546</v>
      </c>
      <c r="AD3" s="1" t="s">
        <v>547</v>
      </c>
    </row>
    <row r="4" spans="1:33">
      <c r="AB4" s="1" t="s">
        <v>548</v>
      </c>
      <c r="AC4" s="1" t="s">
        <v>549</v>
      </c>
      <c r="AD4" s="3" t="s">
        <v>550</v>
      </c>
    </row>
    <row r="5" spans="1:33">
      <c r="AB5" s="1" t="s">
        <v>551</v>
      </c>
      <c r="AD5" s="3" t="s">
        <v>552</v>
      </c>
    </row>
    <row r="6" spans="1:33">
      <c r="AB6" s="1" t="s">
        <v>553</v>
      </c>
    </row>
    <row r="7" spans="1:33">
      <c r="AB7" s="3" t="s">
        <v>554</v>
      </c>
    </row>
    <row r="8" spans="1:33">
      <c r="AB8" s="3" t="s">
        <v>555</v>
      </c>
    </row>
    <row r="9" spans="1:33">
      <c r="C9" s="17" t="s">
        <v>556</v>
      </c>
      <c r="D9" s="1" t="s">
        <v>182</v>
      </c>
      <c r="K9" s="3"/>
      <c r="N9" s="5" t="s">
        <v>557</v>
      </c>
      <c r="O9" s="1" t="s">
        <v>182</v>
      </c>
    </row>
    <row r="10" spans="1:33">
      <c r="A10" s="4" t="s">
        <v>558</v>
      </c>
      <c r="B10" s="11" t="s">
        <v>559</v>
      </c>
      <c r="C10" s="17" t="s">
        <v>560</v>
      </c>
      <c r="D10" s="4" t="s">
        <v>561</v>
      </c>
      <c r="E10" s="1" t="s">
        <v>562</v>
      </c>
      <c r="F10" s="1" t="s">
        <v>563</v>
      </c>
      <c r="G10" s="1" t="s">
        <v>278</v>
      </c>
      <c r="H10" s="4" t="s">
        <v>564</v>
      </c>
      <c r="I10" s="11" t="s">
        <v>565</v>
      </c>
      <c r="J10" s="11" t="s">
        <v>566</v>
      </c>
      <c r="K10" s="11" t="s">
        <v>567</v>
      </c>
      <c r="L10" s="11" t="s">
        <v>568</v>
      </c>
      <c r="M10" s="1" t="s">
        <v>569</v>
      </c>
      <c r="N10" s="5" t="s">
        <v>570</v>
      </c>
      <c r="O10" s="4" t="s">
        <v>571</v>
      </c>
      <c r="P10" s="4" t="s">
        <v>572</v>
      </c>
      <c r="Q10" s="4" t="s">
        <v>573</v>
      </c>
      <c r="R10" s="4" t="s">
        <v>574</v>
      </c>
      <c r="S10" s="4" t="s">
        <v>575</v>
      </c>
      <c r="T10" s="15" t="s">
        <v>576</v>
      </c>
      <c r="U10" s="4" t="s">
        <v>577</v>
      </c>
      <c r="V10" s="4" t="s">
        <v>578</v>
      </c>
      <c r="W10" s="4" t="s">
        <v>579</v>
      </c>
      <c r="X10" s="4" t="s">
        <v>580</v>
      </c>
      <c r="Y10" s="4" t="s">
        <v>581</v>
      </c>
      <c r="Z10" s="4" t="s">
        <v>582</v>
      </c>
      <c r="AA10" s="4" t="s">
        <v>583</v>
      </c>
      <c r="AB10" s="4" t="s">
        <v>584</v>
      </c>
      <c r="AC10" s="4" t="s">
        <v>585</v>
      </c>
      <c r="AD10" s="4" t="s">
        <v>586</v>
      </c>
      <c r="AE10" s="4" t="s">
        <v>587</v>
      </c>
      <c r="AF10" s="4" t="s">
        <v>588</v>
      </c>
      <c r="AG10" s="1" t="s">
        <v>356</v>
      </c>
    </row>
    <row r="11" spans="1:33">
      <c r="A11" s="6" t="s">
        <v>6</v>
      </c>
      <c r="B11" s="6" t="s">
        <v>6</v>
      </c>
      <c r="C1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Romaine Calm</v>
      </c>
      <c r="D11" s="1" t="s">
        <v>362</v>
      </c>
      <c r="E11" s="6" t="s">
        <v>14</v>
      </c>
      <c r="F11" s="1" t="s">
        <v>589</v>
      </c>
      <c r="G11" s="1" t="s">
        <v>292</v>
      </c>
      <c r="H11" s="1" t="s">
        <v>6</v>
      </c>
      <c r="I11" s="5" t="str">
        <f>IF(D11="", "", IF(D11="Unknown", "Unknown", TEXT(D11+_xlfn.XLOOKUP(G11,Seeds!A:A,Seeds!I:I),"yyyy-MM-dd")&amp;"—"&amp;TEXT(D11+_xlfn.XLOOKUP(G11,Seeds!A:A,Seeds!J:J),"yyyy-MM-dd")))</f>
        <v>Unknown</v>
      </c>
      <c r="J11" s="5" t="s">
        <v>362</v>
      </c>
      <c r="K11" s="5" t="s">
        <v>362</v>
      </c>
      <c r="L11" s="5" t="s">
        <v>366</v>
      </c>
      <c r="M11" s="1">
        <v>1</v>
      </c>
      <c r="N1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1" s="1" t="s">
        <v>544</v>
      </c>
      <c r="P11" s="1" t="s">
        <v>590</v>
      </c>
      <c r="Q11" s="1" t="s">
        <v>362</v>
      </c>
      <c r="R11" s="3" t="s">
        <v>362</v>
      </c>
      <c r="S11" s="3" t="s">
        <v>362</v>
      </c>
      <c r="T11" s="6" t="s">
        <v>591</v>
      </c>
      <c r="U11" s="3" t="s">
        <v>362</v>
      </c>
      <c r="V11" s="3" t="s">
        <v>362</v>
      </c>
      <c r="W11" s="3" t="s">
        <v>362</v>
      </c>
      <c r="X11" s="1" t="s">
        <v>591</v>
      </c>
      <c r="Y11" s="1" t="s">
        <v>592</v>
      </c>
      <c r="Z11" s="3" t="s">
        <v>362</v>
      </c>
      <c r="AA11" s="3" t="s">
        <v>362</v>
      </c>
      <c r="AB11" s="3" t="s">
        <v>362</v>
      </c>
      <c r="AC11" s="3" t="s">
        <v>362</v>
      </c>
      <c r="AD11" s="3" t="s">
        <v>362</v>
      </c>
      <c r="AE11" s="1" t="s">
        <v>531</v>
      </c>
      <c r="AF11" s="1" t="s">
        <v>368</v>
      </c>
      <c r="AG11" s="1" t="s">
        <v>593</v>
      </c>
    </row>
    <row r="12" spans="1:33">
      <c r="A12" s="8" t="s">
        <v>10</v>
      </c>
      <c r="B12" s="8" t="s">
        <v>10</v>
      </c>
      <c r="C1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Leaf Quickly</v>
      </c>
      <c r="D12" s="3" t="s">
        <v>362</v>
      </c>
      <c r="E12" s="6" t="s">
        <v>14</v>
      </c>
      <c r="F12" s="3" t="s">
        <v>589</v>
      </c>
      <c r="G12" s="1" t="s">
        <v>292</v>
      </c>
      <c r="H12" s="1" t="s">
        <v>6</v>
      </c>
      <c r="I12" s="12" t="str">
        <f>IF(D12="", "", IF(D12="Unknown", "Unknown", TEXT(D12+_xlfn.XLOOKUP(G12,Seeds!A:A,Seeds!I:I),"yyyy-MM-dd")&amp;"—"&amp;TEXT(D12+_xlfn.XLOOKUP(G12,Seeds!A:A,Seeds!J:J),"yyyy-MM-dd")))</f>
        <v>Unknown</v>
      </c>
      <c r="J12" s="3" t="s">
        <v>362</v>
      </c>
      <c r="K12" s="3" t="s">
        <v>362</v>
      </c>
      <c r="L12" s="3" t="s">
        <v>366</v>
      </c>
      <c r="M12" s="1">
        <v>1</v>
      </c>
      <c r="N1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2" s="3" t="s">
        <v>540</v>
      </c>
      <c r="P12" s="1" t="s">
        <v>590</v>
      </c>
      <c r="Q12" s="3" t="s">
        <v>362</v>
      </c>
      <c r="R12" s="3" t="s">
        <v>362</v>
      </c>
      <c r="S12" s="3" t="s">
        <v>362</v>
      </c>
      <c r="T12" s="3" t="s">
        <v>366</v>
      </c>
      <c r="U12" s="3" t="s">
        <v>366</v>
      </c>
      <c r="V12" s="3" t="s">
        <v>366</v>
      </c>
      <c r="W12" s="3" t="s">
        <v>366</v>
      </c>
      <c r="X12" s="1" t="s">
        <v>590</v>
      </c>
      <c r="Y12" s="1" t="s">
        <v>594</v>
      </c>
      <c r="Z12" s="3" t="s">
        <v>362</v>
      </c>
      <c r="AA12" s="3" t="s">
        <v>366</v>
      </c>
      <c r="AB12" s="3" t="s">
        <v>362</v>
      </c>
      <c r="AC12" s="3" t="s">
        <v>362</v>
      </c>
      <c r="AD12" s="3" t="s">
        <v>362</v>
      </c>
      <c r="AE12" s="1" t="s">
        <v>531</v>
      </c>
      <c r="AF12" s="1" t="s">
        <v>373</v>
      </c>
      <c r="AG12" s="3" t="s">
        <v>595</v>
      </c>
    </row>
    <row r="13" spans="1:33">
      <c r="A13" s="8" t="s">
        <v>14</v>
      </c>
      <c r="B13" s="8" t="s">
        <v>14</v>
      </c>
      <c r="C1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Toss Boss</v>
      </c>
      <c r="D13" s="3" t="s">
        <v>362</v>
      </c>
      <c r="E13" s="6" t="s">
        <v>14</v>
      </c>
      <c r="F13" s="3" t="s">
        <v>589</v>
      </c>
      <c r="G13" s="1" t="s">
        <v>292</v>
      </c>
      <c r="H13" s="1" t="s">
        <v>6</v>
      </c>
      <c r="I13" s="12" t="str">
        <f>IF(D13="", "", IF(D13="Unknown", "Unknown", TEXT(D13+_xlfn.XLOOKUP(G13,Seeds!A:A,Seeds!I:I),"yyyy-MM-dd")&amp;"—"&amp;TEXT(D13+_xlfn.XLOOKUP(G13,Seeds!A:A,Seeds!J:J),"yyyy-MM-dd")))</f>
        <v>Unknown</v>
      </c>
      <c r="J13" s="3" t="s">
        <v>362</v>
      </c>
      <c r="K13" s="5" t="s">
        <v>362</v>
      </c>
      <c r="L13" s="3" t="s">
        <v>366</v>
      </c>
      <c r="M13" s="1">
        <v>1</v>
      </c>
      <c r="N1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3" s="3" t="s">
        <v>540</v>
      </c>
      <c r="P13" s="1" t="s">
        <v>590</v>
      </c>
      <c r="Q13" s="3" t="s">
        <v>362</v>
      </c>
      <c r="R13" s="3" t="s">
        <v>362</v>
      </c>
      <c r="S13" s="3" t="s">
        <v>362</v>
      </c>
      <c r="T13" s="1" t="s">
        <v>366</v>
      </c>
      <c r="U13" s="3" t="s">
        <v>366</v>
      </c>
      <c r="V13" s="3" t="s">
        <v>366</v>
      </c>
      <c r="W13" s="3" t="s">
        <v>366</v>
      </c>
      <c r="X13" s="1" t="s">
        <v>590</v>
      </c>
      <c r="Y13" s="1" t="s">
        <v>594</v>
      </c>
      <c r="Z13" s="3" t="s">
        <v>362</v>
      </c>
      <c r="AA13" s="3" t="s">
        <v>366</v>
      </c>
      <c r="AB13" s="3" t="s">
        <v>362</v>
      </c>
      <c r="AC13" s="3" t="s">
        <v>362</v>
      </c>
      <c r="AD13" s="3" t="s">
        <v>362</v>
      </c>
      <c r="AE13" s="1" t="s">
        <v>390</v>
      </c>
      <c r="AF13" s="1" t="s">
        <v>380</v>
      </c>
      <c r="AG13" s="3" t="s">
        <v>595</v>
      </c>
    </row>
    <row r="14" spans="1:33">
      <c r="A14" s="8" t="s">
        <v>381</v>
      </c>
      <c r="B14" s="8" t="s">
        <v>381</v>
      </c>
      <c r="C1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Lettuce Bee Bold</v>
      </c>
      <c r="D14" s="3" t="s">
        <v>362</v>
      </c>
      <c r="E14" s="6" t="s">
        <v>14</v>
      </c>
      <c r="F14" s="3" t="s">
        <v>589</v>
      </c>
      <c r="G14" s="1" t="s">
        <v>292</v>
      </c>
      <c r="H14" s="1" t="s">
        <v>6</v>
      </c>
      <c r="I14" s="12" t="str">
        <f>IF(D14="", "", IF(D14="Unknown", "Unknown", TEXT(D14+_xlfn.XLOOKUP(G14,Seeds!A:A,Seeds!I:I),"yyyy-MM-dd")&amp;"—"&amp;TEXT(D14+_xlfn.XLOOKUP(G14,Seeds!A:A,Seeds!J:J),"yyyy-MM-dd")))</f>
        <v>Unknown</v>
      </c>
      <c r="J14" s="3" t="s">
        <v>362</v>
      </c>
      <c r="K14" s="5" t="s">
        <v>362</v>
      </c>
      <c r="L14" s="3" t="s">
        <v>366</v>
      </c>
      <c r="M14" s="1">
        <v>1</v>
      </c>
      <c r="N1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4" s="3" t="s">
        <v>544</v>
      </c>
      <c r="P14" s="1" t="s">
        <v>590</v>
      </c>
      <c r="Q14" s="3" t="s">
        <v>362</v>
      </c>
      <c r="R14" s="3" t="s">
        <v>362</v>
      </c>
      <c r="S14" s="3" t="s">
        <v>362</v>
      </c>
      <c r="T14" s="6" t="s">
        <v>591</v>
      </c>
      <c r="U14" s="3" t="s">
        <v>362</v>
      </c>
      <c r="V14" s="3" t="s">
        <v>362</v>
      </c>
      <c r="W14" s="3" t="s">
        <v>362</v>
      </c>
      <c r="X14" s="1" t="s">
        <v>591</v>
      </c>
      <c r="Y14" s="1" t="s">
        <v>592</v>
      </c>
      <c r="Z14" s="3" t="s">
        <v>362</v>
      </c>
      <c r="AA14" s="3" t="s">
        <v>362</v>
      </c>
      <c r="AB14" s="3" t="s">
        <v>362</v>
      </c>
      <c r="AC14" s="3" t="s">
        <v>362</v>
      </c>
      <c r="AD14" s="3" t="s">
        <v>362</v>
      </c>
      <c r="AE14" s="1" t="s">
        <v>390</v>
      </c>
      <c r="AF14" s="1" t="s">
        <v>43</v>
      </c>
      <c r="AG14" s="3" t="s">
        <v>593</v>
      </c>
    </row>
    <row r="15" spans="1:33">
      <c r="A15" s="8" t="s">
        <v>319</v>
      </c>
      <c r="B15" s="8" t="s">
        <v>319</v>
      </c>
      <c r="C1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Dressed for Success</v>
      </c>
      <c r="D15" s="3" t="s">
        <v>362</v>
      </c>
      <c r="E15" s="6" t="s">
        <v>14</v>
      </c>
      <c r="F15" s="1" t="s">
        <v>589</v>
      </c>
      <c r="G15" s="1" t="s">
        <v>314</v>
      </c>
      <c r="H15" s="1" t="s">
        <v>6</v>
      </c>
      <c r="I15" s="12" t="str">
        <f>IF(D15="", "", IF(D15="Unknown", "Unknown", TEXT(D15+_xlfn.XLOOKUP(G15,Seeds!A:A,Seeds!I:I),"yyyy-MM-dd")&amp;"—"&amp;TEXT(D15+_xlfn.XLOOKUP(G15,Seeds!A:A,Seeds!J:J),"yyyy-MM-dd")))</f>
        <v>Unknown</v>
      </c>
      <c r="J15" s="3" t="s">
        <v>362</v>
      </c>
      <c r="K15" s="5" t="s">
        <v>362</v>
      </c>
      <c r="L15" s="3" t="s">
        <v>366</v>
      </c>
      <c r="M15" s="1">
        <v>1</v>
      </c>
      <c r="N1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5" s="1" t="s">
        <v>366</v>
      </c>
      <c r="P15" s="2" t="s">
        <v>366</v>
      </c>
      <c r="Q15" s="3" t="s">
        <v>366</v>
      </c>
      <c r="R15" s="3" t="s">
        <v>366</v>
      </c>
      <c r="S15" s="3" t="s">
        <v>366</v>
      </c>
      <c r="T15" s="1" t="s">
        <v>366</v>
      </c>
      <c r="U15" s="3" t="s">
        <v>366</v>
      </c>
      <c r="V15" s="3" t="s">
        <v>366</v>
      </c>
      <c r="W15" s="3" t="s">
        <v>366</v>
      </c>
      <c r="X15" s="1" t="s">
        <v>590</v>
      </c>
      <c r="Y15" s="3" t="s">
        <v>596</v>
      </c>
      <c r="Z15" s="3" t="s">
        <v>366</v>
      </c>
      <c r="AA15" s="3" t="s">
        <v>366</v>
      </c>
      <c r="AB15" s="3" t="s">
        <v>362</v>
      </c>
      <c r="AC15" s="3" t="s">
        <v>362</v>
      </c>
      <c r="AD15" s="3" t="s">
        <v>362</v>
      </c>
      <c r="AE15" s="1" t="s">
        <v>377</v>
      </c>
      <c r="AF15" s="2" t="s">
        <v>389</v>
      </c>
      <c r="AG15" s="1" t="s">
        <v>597</v>
      </c>
    </row>
    <row r="16" spans="1:33">
      <c r="A16" s="8" t="s">
        <v>390</v>
      </c>
      <c r="B16" s="8" t="s">
        <v>390</v>
      </c>
      <c r="C1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Chop Chop Real Smooth</v>
      </c>
      <c r="D16" s="3" t="s">
        <v>362</v>
      </c>
      <c r="E16" s="6" t="s">
        <v>14</v>
      </c>
      <c r="F16" s="1" t="s">
        <v>598</v>
      </c>
      <c r="G16" s="1" t="s">
        <v>302</v>
      </c>
      <c r="H16" s="1" t="s">
        <v>6</v>
      </c>
      <c r="I16" s="12" t="str">
        <f>IF(D16="", "", IF(D16="Unknown", "Unknown", TEXT(D16+_xlfn.XLOOKUP(G16,Seeds!A:A,Seeds!I:I),"yyyy-MM-dd")&amp;"—"&amp;TEXT(D16+_xlfn.XLOOKUP(G16,Seeds!A:A,Seeds!J:J),"yyyy-MM-dd")))</f>
        <v>Unknown</v>
      </c>
      <c r="J16" s="3" t="s">
        <v>362</v>
      </c>
      <c r="K16" s="5" t="s">
        <v>362</v>
      </c>
      <c r="L16" s="3" t="s">
        <v>366</v>
      </c>
      <c r="M16" s="1">
        <v>1</v>
      </c>
      <c r="N1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6" s="3" t="s">
        <v>540</v>
      </c>
      <c r="P16" s="7" t="s">
        <v>599</v>
      </c>
      <c r="Q16" s="3" t="s">
        <v>362</v>
      </c>
      <c r="R16" s="8" t="s">
        <v>600</v>
      </c>
      <c r="S16" s="3" t="s">
        <v>362</v>
      </c>
      <c r="T16" s="1" t="s">
        <v>366</v>
      </c>
      <c r="U16" s="1" t="s">
        <v>366</v>
      </c>
      <c r="V16" s="1" t="s">
        <v>366</v>
      </c>
      <c r="W16" s="1" t="s">
        <v>366</v>
      </c>
      <c r="X16" s="7" t="s">
        <v>599</v>
      </c>
      <c r="Y16" s="1" t="s">
        <v>594</v>
      </c>
      <c r="Z16" s="3" t="s">
        <v>362</v>
      </c>
      <c r="AA16" s="1" t="s">
        <v>366</v>
      </c>
      <c r="AB16" s="3" t="s">
        <v>362</v>
      </c>
      <c r="AC16" s="3" t="s">
        <v>362</v>
      </c>
      <c r="AD16" s="3" t="s">
        <v>362</v>
      </c>
      <c r="AE16" s="1" t="s">
        <v>531</v>
      </c>
      <c r="AF16" s="2" t="s">
        <v>395</v>
      </c>
      <c r="AG16" s="3" t="s">
        <v>595</v>
      </c>
    </row>
    <row r="17" spans="1:33">
      <c r="A17" s="8" t="s">
        <v>396</v>
      </c>
      <c r="B17" s="8" t="s">
        <v>396</v>
      </c>
      <c r="C1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 Duck Produce!</v>
      </c>
      <c r="D17" s="3" t="s">
        <v>362</v>
      </c>
      <c r="E17" s="6" t="s">
        <v>14</v>
      </c>
      <c r="F17" s="3" t="s">
        <v>601</v>
      </c>
      <c r="G17" s="1" t="s">
        <v>302</v>
      </c>
      <c r="H17" s="1" t="s">
        <v>6</v>
      </c>
      <c r="I17" s="12" t="str">
        <f>IF(D17="", "", IF(D17="Unknown", "Unknown", TEXT(D17+_xlfn.XLOOKUP(G17,Seeds!A:A,Seeds!I:I),"yyyy-MM-dd")&amp;"—"&amp;TEXT(D17+_xlfn.XLOOKUP(G17,Seeds!A:A,Seeds!J:J),"yyyy-MM-dd")))</f>
        <v>Unknown</v>
      </c>
      <c r="J17" s="3" t="s">
        <v>362</v>
      </c>
      <c r="K17" s="5" t="s">
        <v>362</v>
      </c>
      <c r="L17" s="3" t="s">
        <v>366</v>
      </c>
      <c r="M17" s="1">
        <v>1</v>
      </c>
      <c r="N1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7" s="3" t="s">
        <v>540</v>
      </c>
      <c r="P17" s="8" t="s">
        <v>599</v>
      </c>
      <c r="Q17" s="3" t="s">
        <v>362</v>
      </c>
      <c r="R17" s="3" t="s">
        <v>362</v>
      </c>
      <c r="S17" s="3" t="s">
        <v>362</v>
      </c>
      <c r="T17" s="1" t="s">
        <v>366</v>
      </c>
      <c r="U17" s="1" t="s">
        <v>366</v>
      </c>
      <c r="V17" s="1" t="s">
        <v>366</v>
      </c>
      <c r="W17" s="1" t="s">
        <v>366</v>
      </c>
      <c r="X17" s="7" t="s">
        <v>599</v>
      </c>
      <c r="Y17" s="1" t="s">
        <v>594</v>
      </c>
      <c r="Z17" s="3" t="s">
        <v>362</v>
      </c>
      <c r="AA17" s="1" t="s">
        <v>366</v>
      </c>
      <c r="AB17" s="3" t="s">
        <v>362</v>
      </c>
      <c r="AC17" s="3" t="s">
        <v>362</v>
      </c>
      <c r="AD17" s="3" t="s">
        <v>362</v>
      </c>
      <c r="AE17" s="1" t="s">
        <v>531</v>
      </c>
      <c r="AF17" s="2" t="s">
        <v>400</v>
      </c>
      <c r="AG17" s="3" t="s">
        <v>595</v>
      </c>
    </row>
    <row r="18" spans="1:33">
      <c r="A18" s="8" t="s">
        <v>401</v>
      </c>
      <c r="B18" s="8" t="s">
        <v>401</v>
      </c>
      <c r="C1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Home Sill Home</v>
      </c>
      <c r="D18" s="3" t="s">
        <v>362</v>
      </c>
      <c r="E18" s="6" t="s">
        <v>14</v>
      </c>
      <c r="F18" s="3" t="s">
        <v>601</v>
      </c>
      <c r="G18" s="1" t="s">
        <v>302</v>
      </c>
      <c r="H18" s="1" t="s">
        <v>6</v>
      </c>
      <c r="I18" s="12" t="str">
        <f>IF(D18="", "", IF(D18="Unknown", "Unknown", TEXT(D18+_xlfn.XLOOKUP(G18,Seeds!A:A,Seeds!I:I),"yyyy-MM-dd")&amp;"—"&amp;TEXT(D18+_xlfn.XLOOKUP(G18,Seeds!A:A,Seeds!J:J),"yyyy-MM-dd")))</f>
        <v>Unknown</v>
      </c>
      <c r="J18" s="3" t="s">
        <v>362</v>
      </c>
      <c r="K18" s="5" t="s">
        <v>362</v>
      </c>
      <c r="L18" s="3" t="s">
        <v>366</v>
      </c>
      <c r="M18" s="1">
        <v>1</v>
      </c>
      <c r="N1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8" s="3" t="s">
        <v>540</v>
      </c>
      <c r="P18" s="7" t="s">
        <v>602</v>
      </c>
      <c r="Q18" s="3" t="s">
        <v>362</v>
      </c>
      <c r="R18" s="8" t="s">
        <v>603</v>
      </c>
      <c r="S18" s="3" t="s">
        <v>362</v>
      </c>
      <c r="T18" s="3" t="s">
        <v>366</v>
      </c>
      <c r="U18" s="3" t="s">
        <v>366</v>
      </c>
      <c r="V18" s="3" t="s">
        <v>366</v>
      </c>
      <c r="W18" s="3" t="s">
        <v>366</v>
      </c>
      <c r="X18" s="8" t="s">
        <v>602</v>
      </c>
      <c r="Y18" s="1" t="s">
        <v>594</v>
      </c>
      <c r="Z18" s="3" t="s">
        <v>362</v>
      </c>
      <c r="AA18" s="3" t="s">
        <v>366</v>
      </c>
      <c r="AB18" s="3" t="s">
        <v>362</v>
      </c>
      <c r="AC18" s="3" t="s">
        <v>362</v>
      </c>
      <c r="AD18" s="3" t="s">
        <v>362</v>
      </c>
      <c r="AE18" s="1" t="s">
        <v>531</v>
      </c>
      <c r="AF18" s="2" t="s">
        <v>405</v>
      </c>
      <c r="AG18" s="3" t="s">
        <v>604</v>
      </c>
    </row>
    <row r="19" spans="1:33">
      <c r="A19" s="8" t="s">
        <v>406</v>
      </c>
      <c r="B19" s="8" t="s">
        <v>406</v>
      </c>
      <c r="C1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Mr. Green, in the Hall, with the Jar (candlestick)</v>
      </c>
      <c r="D19" s="3" t="s">
        <v>362</v>
      </c>
      <c r="E19" s="6" t="s">
        <v>14</v>
      </c>
      <c r="F19" s="1" t="s">
        <v>598</v>
      </c>
      <c r="G19" s="1" t="s">
        <v>302</v>
      </c>
      <c r="H19" s="1" t="s">
        <v>6</v>
      </c>
      <c r="I19" s="12" t="str">
        <f>IF(D19="", "", IF(D19="Unknown", "Unknown", TEXT(D19+_xlfn.XLOOKUP(G19,Seeds!A:A,Seeds!I:I),"yyyy-MM-dd")&amp;"—"&amp;TEXT(D19+_xlfn.XLOOKUP(G19,Seeds!A:A,Seeds!J:J),"yyyy-MM-dd")))</f>
        <v>Unknown</v>
      </c>
      <c r="J19" s="3" t="s">
        <v>362</v>
      </c>
      <c r="K19" s="5" t="s">
        <v>362</v>
      </c>
      <c r="L19" s="3" t="s">
        <v>366</v>
      </c>
      <c r="M19" s="1">
        <v>1</v>
      </c>
      <c r="N1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9" s="3" t="s">
        <v>540</v>
      </c>
      <c r="P19" s="8" t="s">
        <v>599</v>
      </c>
      <c r="Q19" s="3" t="s">
        <v>362</v>
      </c>
      <c r="R19" s="8" t="s">
        <v>605</v>
      </c>
      <c r="S19" s="3" t="s">
        <v>362</v>
      </c>
      <c r="T19" s="1" t="s">
        <v>366</v>
      </c>
      <c r="U19" s="1" t="s">
        <v>366</v>
      </c>
      <c r="V19" s="1" t="s">
        <v>366</v>
      </c>
      <c r="W19" s="1" t="s">
        <v>366</v>
      </c>
      <c r="X19" s="7" t="s">
        <v>599</v>
      </c>
      <c r="Y19" s="1" t="s">
        <v>594</v>
      </c>
      <c r="Z19" s="3" t="s">
        <v>362</v>
      </c>
      <c r="AA19" s="1" t="s">
        <v>366</v>
      </c>
      <c r="AB19" s="3" t="s">
        <v>362</v>
      </c>
      <c r="AC19" s="3" t="s">
        <v>362</v>
      </c>
      <c r="AD19" s="3" t="s">
        <v>362</v>
      </c>
      <c r="AE19" s="1" t="s">
        <v>410</v>
      </c>
      <c r="AF19" s="2" t="s">
        <v>411</v>
      </c>
      <c r="AG19" s="1" t="s">
        <v>606</v>
      </c>
    </row>
    <row r="20" spans="1:33">
      <c r="A20" s="8" t="s">
        <v>320</v>
      </c>
      <c r="B20" s="8" t="s">
        <v>320</v>
      </c>
      <c r="C2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These are a few of my favorite things</v>
      </c>
      <c r="D20" s="3" t="s">
        <v>362</v>
      </c>
      <c r="E20" s="6" t="s">
        <v>14</v>
      </c>
      <c r="F20" s="1" t="s">
        <v>607</v>
      </c>
      <c r="G20" s="1" t="s">
        <v>302</v>
      </c>
      <c r="H20" s="1" t="s">
        <v>6</v>
      </c>
      <c r="I20" s="12" t="str">
        <f>IF(D20="", "", IF(D20="Unknown", "Unknown", TEXT(D20+_xlfn.XLOOKUP(G20,Seeds!A:A,Seeds!I:I),"yyyy-MM-dd")&amp;"—"&amp;TEXT(D20+_xlfn.XLOOKUP(G20,Seeds!A:A,Seeds!J:J),"yyyy-MM-dd")))</f>
        <v>Unknown</v>
      </c>
      <c r="J20" s="3" t="s">
        <v>362</v>
      </c>
      <c r="K20" s="5" t="s">
        <v>362</v>
      </c>
      <c r="L20" s="3" t="s">
        <v>366</v>
      </c>
      <c r="M20" s="1">
        <v>1</v>
      </c>
      <c r="N2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0" s="3" t="s">
        <v>540</v>
      </c>
      <c r="P20" s="7" t="s">
        <v>608</v>
      </c>
      <c r="Q20" s="3" t="s">
        <v>362</v>
      </c>
      <c r="R20" s="7" t="s">
        <v>603</v>
      </c>
      <c r="S20" s="8" t="s">
        <v>10</v>
      </c>
      <c r="T20" s="3" t="s">
        <v>366</v>
      </c>
      <c r="U20" s="3" t="s">
        <v>366</v>
      </c>
      <c r="V20" s="3" t="s">
        <v>366</v>
      </c>
      <c r="W20" s="3" t="s">
        <v>366</v>
      </c>
      <c r="X20" s="8" t="s">
        <v>608</v>
      </c>
      <c r="Y20" s="1" t="s">
        <v>594</v>
      </c>
      <c r="Z20" s="3" t="s">
        <v>362</v>
      </c>
      <c r="AA20" s="3" t="s">
        <v>366</v>
      </c>
      <c r="AB20" s="3" t="s">
        <v>553</v>
      </c>
      <c r="AC20" s="3" t="s">
        <v>542</v>
      </c>
      <c r="AD20" s="3" t="s">
        <v>550</v>
      </c>
      <c r="AE20" s="1" t="s">
        <v>362</v>
      </c>
      <c r="AF20" s="3" t="s">
        <v>362</v>
      </c>
    </row>
    <row r="21" spans="1:33">
      <c r="A21" s="8" t="s">
        <v>416</v>
      </c>
      <c r="B21" s="8" t="s">
        <v>416</v>
      </c>
      <c r="C2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You're the Best! A Crown!</v>
      </c>
      <c r="D21" s="3" t="s">
        <v>362</v>
      </c>
      <c r="E21" s="6" t="s">
        <v>14</v>
      </c>
      <c r="F21" s="1" t="s">
        <v>609</v>
      </c>
      <c r="G21" s="1" t="s">
        <v>302</v>
      </c>
      <c r="H21" s="1" t="s">
        <v>6</v>
      </c>
      <c r="I21" s="12" t="str">
        <f>IF(D21="", "", IF(D21="Unknown", "Unknown", TEXT(D21+_xlfn.XLOOKUP(G21,Seeds!A:A,Seeds!I:I),"yyyy-MM-dd")&amp;"—"&amp;TEXT(D21+_xlfn.XLOOKUP(G21,Seeds!A:A,Seeds!J:J),"yyyy-MM-dd")))</f>
        <v>Unknown</v>
      </c>
      <c r="J21" s="3" t="s">
        <v>362</v>
      </c>
      <c r="K21" s="5" t="s">
        <v>362</v>
      </c>
      <c r="L21" s="3" t="s">
        <v>366</v>
      </c>
      <c r="M21" s="1">
        <v>1</v>
      </c>
      <c r="N2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1" s="3" t="s">
        <v>540</v>
      </c>
      <c r="P21" s="8" t="s">
        <v>602</v>
      </c>
      <c r="Q21" s="3" t="s">
        <v>362</v>
      </c>
      <c r="R21" s="8" t="s">
        <v>53</v>
      </c>
      <c r="S21" s="3" t="s">
        <v>362</v>
      </c>
      <c r="T21" s="3" t="s">
        <v>366</v>
      </c>
      <c r="U21" s="3" t="s">
        <v>366</v>
      </c>
      <c r="V21" s="3" t="s">
        <v>366</v>
      </c>
      <c r="W21" s="3" t="s">
        <v>366</v>
      </c>
      <c r="X21" s="8" t="s">
        <v>602</v>
      </c>
      <c r="Y21" s="1" t="s">
        <v>594</v>
      </c>
      <c r="Z21" s="3" t="s">
        <v>362</v>
      </c>
      <c r="AA21" s="3" t="s">
        <v>366</v>
      </c>
      <c r="AB21" s="3" t="s">
        <v>362</v>
      </c>
      <c r="AC21" s="3" t="s">
        <v>362</v>
      </c>
      <c r="AD21" s="3" t="s">
        <v>362</v>
      </c>
      <c r="AE21" s="1" t="s">
        <v>531</v>
      </c>
      <c r="AF21" s="2" t="s">
        <v>419</v>
      </c>
      <c r="AG21" s="3" t="s">
        <v>604</v>
      </c>
    </row>
    <row r="22" spans="1:33">
      <c r="A22" s="8" t="s">
        <v>420</v>
      </c>
      <c r="B22" s="8" t="s">
        <v>420</v>
      </c>
      <c r="C2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Breakfast and Move Things</v>
      </c>
      <c r="D22" s="3" t="s">
        <v>362</v>
      </c>
      <c r="E22" s="6" t="s">
        <v>14</v>
      </c>
      <c r="F22" s="1" t="s">
        <v>610</v>
      </c>
      <c r="G22" s="3" t="s">
        <v>302</v>
      </c>
      <c r="H22" s="1" t="s">
        <v>6</v>
      </c>
      <c r="I22" s="12" t="str">
        <f>IF(D22="", "", IF(D22="Unknown", "Unknown", TEXT(D22+_xlfn.XLOOKUP(G22,Seeds!A:A,Seeds!I:I),"yyyy-MM-dd")&amp;"—"&amp;TEXT(D22+_xlfn.XLOOKUP(G22,Seeds!A:A,Seeds!J:J),"yyyy-MM-dd")))</f>
        <v>Unknown</v>
      </c>
      <c r="J22" s="3" t="s">
        <v>362</v>
      </c>
      <c r="K22" s="5" t="s">
        <v>362</v>
      </c>
      <c r="L22" s="3" t="s">
        <v>366</v>
      </c>
      <c r="M22" s="1">
        <v>1</v>
      </c>
      <c r="N2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2" s="3" t="s">
        <v>540</v>
      </c>
      <c r="P22" s="7" t="s">
        <v>608</v>
      </c>
      <c r="Q22" s="3" t="s">
        <v>362</v>
      </c>
      <c r="R22" s="7" t="s">
        <v>611</v>
      </c>
      <c r="S22" s="8" t="s">
        <v>10</v>
      </c>
      <c r="T22" s="3" t="s">
        <v>366</v>
      </c>
      <c r="U22" s="3" t="s">
        <v>366</v>
      </c>
      <c r="V22" s="3" t="s">
        <v>366</v>
      </c>
      <c r="W22" s="3" t="s">
        <v>366</v>
      </c>
      <c r="X22" s="8" t="s">
        <v>608</v>
      </c>
      <c r="Y22" s="1" t="s">
        <v>594</v>
      </c>
      <c r="Z22" s="3" t="s">
        <v>362</v>
      </c>
      <c r="AA22" s="3" t="s">
        <v>366</v>
      </c>
      <c r="AB22" s="3" t="s">
        <v>553</v>
      </c>
      <c r="AC22" s="3" t="s">
        <v>542</v>
      </c>
      <c r="AD22" s="3" t="s">
        <v>547</v>
      </c>
      <c r="AE22" s="3" t="s">
        <v>362</v>
      </c>
      <c r="AF22" s="3" t="s">
        <v>362</v>
      </c>
    </row>
    <row r="23" spans="1:33">
      <c r="A23" s="8" t="s">
        <v>424</v>
      </c>
      <c r="B23" s="8" t="s">
        <v>424</v>
      </c>
      <c r="C2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Dancing on my Shelf</v>
      </c>
      <c r="D23" s="3" t="s">
        <v>362</v>
      </c>
      <c r="E23" s="6" t="s">
        <v>14</v>
      </c>
      <c r="F23" s="1" t="s">
        <v>612</v>
      </c>
      <c r="G23" s="3" t="s">
        <v>302</v>
      </c>
      <c r="H23" s="1" t="s">
        <v>6</v>
      </c>
      <c r="I23" s="12" t="str">
        <f>IF(D23="", "", IF(D23="Unknown", "Unknown", TEXT(D23+_xlfn.XLOOKUP(G23,Seeds!A:A,Seeds!I:I),"yyyy-MM-dd")&amp;"—"&amp;TEXT(D23+_xlfn.XLOOKUP(G23,Seeds!A:A,Seeds!J:J),"yyyy-MM-dd")))</f>
        <v>Unknown</v>
      </c>
      <c r="J23" s="3" t="s">
        <v>362</v>
      </c>
      <c r="K23" s="5" t="s">
        <v>362</v>
      </c>
      <c r="L23" s="3" t="s">
        <v>366</v>
      </c>
      <c r="M23" s="1">
        <v>1</v>
      </c>
      <c r="N2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3" s="3" t="s">
        <v>540</v>
      </c>
      <c r="P23" s="8" t="s">
        <v>602</v>
      </c>
      <c r="Q23" s="3" t="s">
        <v>362</v>
      </c>
      <c r="R23" s="8" t="s">
        <v>45</v>
      </c>
      <c r="S23" s="3" t="s">
        <v>362</v>
      </c>
      <c r="T23" s="3" t="s">
        <v>366</v>
      </c>
      <c r="U23" s="3" t="s">
        <v>366</v>
      </c>
      <c r="V23" s="3" t="s">
        <v>366</v>
      </c>
      <c r="W23" s="3" t="s">
        <v>366</v>
      </c>
      <c r="X23" s="8" t="s">
        <v>602</v>
      </c>
      <c r="Y23" s="1" t="s">
        <v>594</v>
      </c>
      <c r="Z23" s="3" t="s">
        <v>362</v>
      </c>
      <c r="AA23" s="3" t="s">
        <v>366</v>
      </c>
      <c r="AB23" s="3" t="s">
        <v>362</v>
      </c>
      <c r="AC23" s="3" t="s">
        <v>362</v>
      </c>
      <c r="AD23" s="3" t="s">
        <v>362</v>
      </c>
      <c r="AE23" s="1" t="s">
        <v>531</v>
      </c>
      <c r="AF23" s="2" t="s">
        <v>428</v>
      </c>
      <c r="AG23" s="3" t="s">
        <v>604</v>
      </c>
    </row>
    <row r="24" spans="1:33">
      <c r="A24" s="8" t="s">
        <v>429</v>
      </c>
      <c r="B24" s="8" t="s">
        <v>429</v>
      </c>
      <c r="C2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Look Out and-Grow!</v>
      </c>
      <c r="D24" s="3" t="s">
        <v>362</v>
      </c>
      <c r="E24" s="6" t="s">
        <v>14</v>
      </c>
      <c r="F24" s="1" t="s">
        <v>609</v>
      </c>
      <c r="G24" s="1" t="s">
        <v>292</v>
      </c>
      <c r="H24" s="1" t="s">
        <v>6</v>
      </c>
      <c r="I24" s="12" t="str">
        <f>IF(D24="", "", IF(D24="Unknown", "Unknown", TEXT(D24+_xlfn.XLOOKUP(G24,Seeds!A:A,Seeds!I:I),"yyyy-MM-dd")&amp;"—"&amp;TEXT(D24+_xlfn.XLOOKUP(G24,Seeds!A:A,Seeds!J:J),"yyyy-MM-dd")))</f>
        <v>Unknown</v>
      </c>
      <c r="J24" s="3" t="s">
        <v>362</v>
      </c>
      <c r="K24" s="5" t="s">
        <v>362</v>
      </c>
      <c r="L24" s="3" t="s">
        <v>366</v>
      </c>
      <c r="M24" s="1">
        <v>1</v>
      </c>
      <c r="N2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4" s="3" t="s">
        <v>540</v>
      </c>
      <c r="P24" s="8" t="s">
        <v>602</v>
      </c>
      <c r="Q24" s="3" t="s">
        <v>362</v>
      </c>
      <c r="R24" s="8" t="s">
        <v>605</v>
      </c>
      <c r="S24" s="3" t="s">
        <v>362</v>
      </c>
      <c r="T24" s="3" t="s">
        <v>366</v>
      </c>
      <c r="U24" s="3" t="s">
        <v>366</v>
      </c>
      <c r="V24" s="3" t="s">
        <v>366</v>
      </c>
      <c r="W24" s="3" t="s">
        <v>366</v>
      </c>
      <c r="X24" s="8" t="s">
        <v>602</v>
      </c>
      <c r="Y24" s="1" t="s">
        <v>594</v>
      </c>
      <c r="Z24" s="3" t="s">
        <v>362</v>
      </c>
      <c r="AA24" s="3" t="s">
        <v>366</v>
      </c>
      <c r="AB24" s="3" t="s">
        <v>362</v>
      </c>
      <c r="AC24" s="3" t="s">
        <v>362</v>
      </c>
      <c r="AD24" s="3" t="s">
        <v>362</v>
      </c>
      <c r="AE24" s="1" t="s">
        <v>410</v>
      </c>
      <c r="AF24" s="2" t="s">
        <v>433</v>
      </c>
      <c r="AG24" s="3" t="s">
        <v>604</v>
      </c>
    </row>
    <row r="25" spans="1:33">
      <c r="A25" s="8" t="s">
        <v>434</v>
      </c>
      <c r="B25" s="8" t="s">
        <v>434</v>
      </c>
      <c r="C2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Green Queen</v>
      </c>
      <c r="D25" s="3" t="s">
        <v>362</v>
      </c>
      <c r="E25" s="6" t="s">
        <v>14</v>
      </c>
      <c r="F25" s="1" t="s">
        <v>613</v>
      </c>
      <c r="G25" s="1" t="s">
        <v>314</v>
      </c>
      <c r="H25" s="1" t="s">
        <v>6</v>
      </c>
      <c r="I25" s="12" t="str">
        <f>IF(D25="", "", IF(D25="Unknown", "Unknown", TEXT(D25+_xlfn.XLOOKUP(G25,Seeds!A:A,Seeds!I:I),"yyyy-MM-dd")&amp;"—"&amp;TEXT(D25+_xlfn.XLOOKUP(G25,Seeds!A:A,Seeds!J:J),"yyyy-MM-dd")))</f>
        <v>Unknown</v>
      </c>
      <c r="J25" s="3" t="s">
        <v>362</v>
      </c>
      <c r="K25" s="5" t="s">
        <v>362</v>
      </c>
      <c r="L25" s="3" t="s">
        <v>366</v>
      </c>
      <c r="M25" s="1">
        <v>1</v>
      </c>
      <c r="N2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5" s="3" t="s">
        <v>366</v>
      </c>
      <c r="P25" s="2" t="s">
        <v>366</v>
      </c>
      <c r="Q25" s="3" t="s">
        <v>366</v>
      </c>
      <c r="R25" s="3" t="s">
        <v>366</v>
      </c>
      <c r="S25" s="3" t="s">
        <v>366</v>
      </c>
      <c r="T25" s="3" t="s">
        <v>366</v>
      </c>
      <c r="U25" s="3" t="s">
        <v>366</v>
      </c>
      <c r="V25" s="3" t="s">
        <v>366</v>
      </c>
      <c r="W25" s="3" t="s">
        <v>366</v>
      </c>
      <c r="X25" s="2" t="s">
        <v>614</v>
      </c>
      <c r="Y25" s="3" t="s">
        <v>615</v>
      </c>
      <c r="Z25" s="3" t="s">
        <v>366</v>
      </c>
      <c r="AA25" s="3" t="s">
        <v>366</v>
      </c>
      <c r="AB25" s="3" t="s">
        <v>362</v>
      </c>
      <c r="AC25" s="3" t="s">
        <v>362</v>
      </c>
      <c r="AD25" s="3" t="s">
        <v>362</v>
      </c>
      <c r="AE25" s="1" t="s">
        <v>319</v>
      </c>
      <c r="AF25" s="2" t="s">
        <v>437</v>
      </c>
      <c r="AG25" s="1" t="s">
        <v>616</v>
      </c>
    </row>
    <row r="26" spans="1:33">
      <c r="A26" s="8" t="s">
        <v>438</v>
      </c>
      <c r="B26" s="8" t="s">
        <v>438</v>
      </c>
      <c r="C2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26" s="3" t="s">
        <v>362</v>
      </c>
      <c r="E26" s="6" t="s">
        <v>14</v>
      </c>
      <c r="F26" s="1" t="s">
        <v>617</v>
      </c>
      <c r="G26" s="1" t="s">
        <v>314</v>
      </c>
      <c r="H26" s="1" t="s">
        <v>6</v>
      </c>
      <c r="I26" s="12" t="str">
        <f>IF(D26="", "", IF(D26="Unknown", "Unknown", TEXT(D26+_xlfn.XLOOKUP(G26,Seeds!A:A,Seeds!I:I),"yyyy-MM-dd")&amp;"—"&amp;TEXT(D26+_xlfn.XLOOKUP(G26,Seeds!A:A,Seeds!J:J),"yyyy-MM-dd")))</f>
        <v>Unknown</v>
      </c>
      <c r="J26" s="3" t="s">
        <v>362</v>
      </c>
      <c r="K26" s="5" t="s">
        <v>362</v>
      </c>
      <c r="L26" s="3" t="s">
        <v>366</v>
      </c>
      <c r="M26" s="1">
        <v>1</v>
      </c>
      <c r="N2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6" s="3" t="s">
        <v>540</v>
      </c>
      <c r="P26" s="8" t="s">
        <v>602</v>
      </c>
      <c r="Q26" s="3" t="s">
        <v>362</v>
      </c>
      <c r="R26" s="3" t="s">
        <v>362</v>
      </c>
      <c r="S26" s="3" t="s">
        <v>362</v>
      </c>
      <c r="T26" s="3" t="s">
        <v>366</v>
      </c>
      <c r="U26" s="3" t="s">
        <v>366</v>
      </c>
      <c r="V26" s="3" t="s">
        <v>366</v>
      </c>
      <c r="W26" s="3" t="s">
        <v>366</v>
      </c>
      <c r="X26" s="8" t="s">
        <v>602</v>
      </c>
      <c r="Y26" s="1" t="s">
        <v>594</v>
      </c>
      <c r="Z26" s="3" t="s">
        <v>362</v>
      </c>
      <c r="AA26" s="3" t="s">
        <v>366</v>
      </c>
      <c r="AB26" s="3" t="s">
        <v>362</v>
      </c>
      <c r="AC26" s="3" t="s">
        <v>362</v>
      </c>
      <c r="AD26" s="3" t="s">
        <v>362</v>
      </c>
      <c r="AE26" s="1" t="s">
        <v>390</v>
      </c>
      <c r="AF26" s="2" t="s">
        <v>441</v>
      </c>
      <c r="AG26" s="1" t="s">
        <v>618</v>
      </c>
    </row>
    <row r="27" spans="1:33">
      <c r="A27" s="7" t="s">
        <v>442</v>
      </c>
      <c r="B27" s="7" t="s">
        <v>442</v>
      </c>
      <c r="C2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Buddy</v>
      </c>
      <c r="D27" s="2" t="s">
        <v>362</v>
      </c>
      <c r="E27" s="6" t="s">
        <v>14</v>
      </c>
      <c r="F27" s="1" t="s">
        <v>609</v>
      </c>
      <c r="G27" s="1" t="s">
        <v>314</v>
      </c>
      <c r="H27" s="1" t="s">
        <v>6</v>
      </c>
      <c r="I27" s="12" t="str">
        <f>IF(D27="", "", IF(D27="Unknown", "Unknown", TEXT(D27+_xlfn.XLOOKUP(G27,Seeds!A:A,Seeds!I:I),"yyyy-MM-dd")&amp;"—"&amp;TEXT(D27+_xlfn.XLOOKUP(G27,Seeds!A:A,Seeds!J:J),"yyyy-MM-dd")))</f>
        <v>Unknown</v>
      </c>
      <c r="J27" s="3" t="s">
        <v>362</v>
      </c>
      <c r="K27" s="5" t="s">
        <v>362</v>
      </c>
      <c r="L27" s="3" t="s">
        <v>366</v>
      </c>
      <c r="M27" s="1">
        <v>1</v>
      </c>
      <c r="N2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7" s="1" t="s">
        <v>366</v>
      </c>
      <c r="P27" s="2" t="s">
        <v>366</v>
      </c>
      <c r="Q27" s="3" t="s">
        <v>366</v>
      </c>
      <c r="R27" s="3" t="s">
        <v>366</v>
      </c>
      <c r="S27" s="3" t="s">
        <v>366</v>
      </c>
      <c r="T27" s="3" t="s">
        <v>366</v>
      </c>
      <c r="U27" s="3" t="s">
        <v>366</v>
      </c>
      <c r="V27" s="3" t="s">
        <v>366</v>
      </c>
      <c r="W27" s="3" t="s">
        <v>366</v>
      </c>
      <c r="X27" s="6" t="s">
        <v>614</v>
      </c>
      <c r="Y27" s="3" t="s">
        <v>615</v>
      </c>
      <c r="Z27" s="3" t="s">
        <v>366</v>
      </c>
      <c r="AA27" s="3" t="s">
        <v>366</v>
      </c>
      <c r="AB27" s="3" t="s">
        <v>362</v>
      </c>
      <c r="AC27" s="3" t="s">
        <v>362</v>
      </c>
      <c r="AD27" s="3" t="s">
        <v>362</v>
      </c>
      <c r="AE27" s="1" t="s">
        <v>390</v>
      </c>
      <c r="AF27" s="2" t="s">
        <v>446</v>
      </c>
      <c r="AG27" s="1" t="s">
        <v>447</v>
      </c>
    </row>
    <row r="28" spans="1:33">
      <c r="A28" s="8" t="s">
        <v>468</v>
      </c>
      <c r="B28" s="8" t="s">
        <v>468</v>
      </c>
      <c r="C2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28" s="8" t="s">
        <v>469</v>
      </c>
      <c r="E28" s="8" t="s">
        <v>10</v>
      </c>
      <c r="F28" s="3" t="s">
        <v>619</v>
      </c>
      <c r="G28" s="1" t="s">
        <v>314</v>
      </c>
      <c r="H28" s="6" t="s">
        <v>6</v>
      </c>
      <c r="I28" s="14" t="e">
        <f>IF(D28="", "", IF(D28="Unknown", "Unknown", TEXT(D28+_xlfn.XLOOKUP(G28,Seeds!A:A,Seeds!I:I),"yyyy-MM-dd")&amp;"—"&amp;TEXT(D28+_xlfn.XLOOKUP(G28,Seeds!A:A,Seeds!J:J),"yyyy-MM-dd")))</f>
        <v>#VALUE!</v>
      </c>
      <c r="J28" s="8" t="s">
        <v>620</v>
      </c>
      <c r="K28" s="5" t="s">
        <v>362</v>
      </c>
      <c r="L28" s="3" t="s">
        <v>366</v>
      </c>
      <c r="M28" s="6" t="s">
        <v>6</v>
      </c>
      <c r="N28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29" spans="1:33">
      <c r="A29" s="6" t="s">
        <v>472</v>
      </c>
      <c r="B29" s="6" t="s">
        <v>448</v>
      </c>
      <c r="C2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Goose</v>
      </c>
      <c r="D29" s="6" t="s">
        <v>469</v>
      </c>
      <c r="E29" s="1" t="s">
        <v>10</v>
      </c>
      <c r="F29" s="1" t="s">
        <v>619</v>
      </c>
      <c r="G29" s="1" t="s">
        <v>314</v>
      </c>
      <c r="H29" s="6" t="s">
        <v>6</v>
      </c>
      <c r="I29" s="13" t="e">
        <f>IF(D29="", "", IF(D29="Unknown", "Unknown", TEXT(D29+_xlfn.XLOOKUP(G29,Seeds!A:A,Seeds!I:I),"yyyy-MM-dd")&amp;"—"&amp;TEXT(D29+_xlfn.XLOOKUP(G29,Seeds!A:A,Seeds!J:J),"yyyy-MM-dd")))</f>
        <v>#VALUE!</v>
      </c>
      <c r="J29" s="8" t="s">
        <v>620</v>
      </c>
      <c r="K29" s="5" t="s">
        <v>362</v>
      </c>
      <c r="L29" s="8" t="s">
        <v>621</v>
      </c>
      <c r="M29" s="6" t="s">
        <v>6</v>
      </c>
      <c r="N29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0" spans="1:33">
      <c r="A30" s="6" t="s">
        <v>150</v>
      </c>
      <c r="B30" s="6" t="s">
        <v>486</v>
      </c>
      <c r="C3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0" s="1" t="s">
        <v>476</v>
      </c>
      <c r="E30" s="1" t="s">
        <v>10</v>
      </c>
      <c r="F30" s="1" t="s">
        <v>622</v>
      </c>
      <c r="G30" s="1" t="s">
        <v>314</v>
      </c>
      <c r="H30" s="1" t="s">
        <v>6</v>
      </c>
      <c r="I30" s="5" t="e">
        <f>IF(D30="", "", IF(D30="Unknown", "Unknown", TEXT(D30+_xlfn.XLOOKUP(G30,Seeds!A:A,Seeds!I:I),"yyyy-MM-dd")&amp;"—"&amp;TEXT(D30+_xlfn.XLOOKUP(G30,Seeds!A:A,Seeds!J:J),"yyyy-MM-dd")))</f>
        <v>#VALUE!</v>
      </c>
      <c r="J30" s="16" t="s">
        <v>623</v>
      </c>
      <c r="K30" s="5" t="s">
        <v>362</v>
      </c>
      <c r="L30" s="8" t="s">
        <v>505</v>
      </c>
      <c r="M30" s="1" t="s">
        <v>6</v>
      </c>
      <c r="N30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1" spans="1:33">
      <c r="A31" s="8" t="s">
        <v>478</v>
      </c>
      <c r="B31" s="6" t="s">
        <v>455</v>
      </c>
      <c r="C3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1" s="6" t="s">
        <v>479</v>
      </c>
      <c r="E31" s="6" t="s">
        <v>10</v>
      </c>
      <c r="F31" s="1" t="s">
        <v>617</v>
      </c>
      <c r="G31" s="1" t="s">
        <v>314</v>
      </c>
      <c r="H31" s="1" t="s">
        <v>6</v>
      </c>
      <c r="I31" s="5" t="e">
        <f>IF(D31="", "", IF(D31="Unknown", "Unknown", TEXT(D31+_xlfn.XLOOKUP(G31,Seeds!A:A,Seeds!I:I),"yyyy-MM-dd")&amp;"—"&amp;TEXT(D31+_xlfn.XLOOKUP(G31,Seeds!A:A,Seeds!J:J),"yyyy-MM-dd")))</f>
        <v>#VALUE!</v>
      </c>
      <c r="J31" s="13" t="s">
        <v>621</v>
      </c>
      <c r="K31" s="5" t="s">
        <v>362</v>
      </c>
      <c r="L31" s="13" t="s">
        <v>624</v>
      </c>
      <c r="M31" s="1" t="s">
        <v>6</v>
      </c>
      <c r="N31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2" spans="1:33">
      <c r="A32" s="6" t="s">
        <v>482</v>
      </c>
      <c r="B32" s="6" t="s">
        <v>482</v>
      </c>
      <c r="C3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32" s="16" t="s">
        <v>479</v>
      </c>
      <c r="E32" s="6" t="s">
        <v>10</v>
      </c>
      <c r="F32" s="3" t="s">
        <v>617</v>
      </c>
      <c r="G32" s="1" t="s">
        <v>314</v>
      </c>
      <c r="H32" s="1" t="s">
        <v>6</v>
      </c>
      <c r="I32" s="5" t="e">
        <f>IF(D32="", "", IF(D32="Unknown", "Unknown", TEXT(D32+_xlfn.XLOOKUP(G32,Seeds!A:A,Seeds!I:I),"yyyy-MM-dd")&amp;"—"&amp;TEXT(D32+_xlfn.XLOOKUP(G32,Seeds!A:A,Seeds!J:J),"yyyy-MM-dd")))</f>
        <v>#VALUE!</v>
      </c>
      <c r="J32" s="8" t="s">
        <v>621</v>
      </c>
      <c r="K32" s="5" t="s">
        <v>362</v>
      </c>
      <c r="L32" s="3" t="s">
        <v>366</v>
      </c>
      <c r="M32" s="1" t="s">
        <v>6</v>
      </c>
      <c r="N32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3" spans="1:33">
      <c r="A33" s="6" t="s">
        <v>625</v>
      </c>
      <c r="B33" s="1" t="s">
        <v>464</v>
      </c>
      <c r="C3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3" s="6" t="s">
        <v>621</v>
      </c>
      <c r="E33" s="1" t="s">
        <v>10</v>
      </c>
      <c r="F33" s="1" t="s">
        <v>622</v>
      </c>
      <c r="G33" s="1" t="s">
        <v>314</v>
      </c>
      <c r="H33" s="1" t="s">
        <v>6</v>
      </c>
      <c r="I33" s="5" t="e">
        <f>IF(D33="", "", IF(D33="Unknown", "Unknown", TEXT(D33+_xlfn.XLOOKUP(G33,Seeds!A:A,Seeds!I:I),"yyyy-MM-dd")&amp;"—"&amp;TEXT(D33+_xlfn.XLOOKUP(G33,Seeds!A:A,Seeds!J:J),"yyyy-MM-dd")))</f>
        <v>#VALUE!</v>
      </c>
      <c r="J33" s="13" t="s">
        <v>624</v>
      </c>
      <c r="K33" s="13" t="s">
        <v>626</v>
      </c>
      <c r="L33" s="13" t="s">
        <v>627</v>
      </c>
      <c r="M33" s="1" t="s">
        <v>6</v>
      </c>
      <c r="N33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4" spans="1:33">
      <c r="A34" s="6" t="s">
        <v>504</v>
      </c>
      <c r="B34" s="1" t="s">
        <v>494</v>
      </c>
      <c r="C3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Shining so Bright, We Grow Upright</v>
      </c>
      <c r="D34" s="6" t="s">
        <v>505</v>
      </c>
      <c r="E34" s="1" t="s">
        <v>10</v>
      </c>
      <c r="F34" s="1" t="s">
        <v>622</v>
      </c>
      <c r="G34" s="1" t="s">
        <v>314</v>
      </c>
      <c r="H34" s="1" t="s">
        <v>6</v>
      </c>
      <c r="I34" s="5" t="e">
        <f>IF(D34="", "", IF(D34="Unknown", "Unknown", TEXT(D34+_xlfn.XLOOKUP(G34,Seeds!A:A,Seeds!I:I),"yyyy-MM-dd")&amp;"—"&amp;TEXT(D34+_xlfn.XLOOKUP(G34,Seeds!A:A,Seeds!J:J),"yyyy-MM-dd")))</f>
        <v>#VALUE!</v>
      </c>
      <c r="J34" s="13" t="s">
        <v>507</v>
      </c>
      <c r="K34" s="13" t="s">
        <v>58</v>
      </c>
      <c r="L34" s="13" t="s">
        <v>627</v>
      </c>
      <c r="M34" s="1" t="s">
        <v>6</v>
      </c>
      <c r="N34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5" spans="1:33">
      <c r="A35" s="6" t="s">
        <v>628</v>
      </c>
      <c r="B35" s="1" t="s">
        <v>489</v>
      </c>
      <c r="C3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You've Made it this Jar</v>
      </c>
      <c r="D35" s="6" t="s">
        <v>624</v>
      </c>
      <c r="E35" s="1" t="s">
        <v>10</v>
      </c>
      <c r="F35" s="1" t="s">
        <v>622</v>
      </c>
      <c r="G35" s="1" t="s">
        <v>314</v>
      </c>
      <c r="H35" s="1" t="s">
        <v>6</v>
      </c>
      <c r="I35" s="5" t="e">
        <f>IF(D35="", "", IF(D35="Unknown", "Unknown", TEXT(D35+_xlfn.XLOOKUP(G35,Seeds!A:A,Seeds!I:I),"yyyy-MM-dd")&amp;"—"&amp;TEXT(D35+_xlfn.XLOOKUP(G35,Seeds!A:A,Seeds!J:J),"yyyy-MM-dd")))</f>
        <v>#VALUE!</v>
      </c>
      <c r="J35" s="13" t="s">
        <v>627</v>
      </c>
      <c r="K35" s="13" t="s">
        <v>498</v>
      </c>
      <c r="L35" s="13" t="s">
        <v>629</v>
      </c>
      <c r="M35" s="1" t="s">
        <v>6</v>
      </c>
      <c r="N35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  <c r="AG35" s="1" t="s">
        <v>630</v>
      </c>
    </row>
    <row r="36" spans="1:33">
      <c r="A36" s="6" t="s">
        <v>506</v>
      </c>
      <c r="B36" s="1" t="s">
        <v>366</v>
      </c>
      <c r="C3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6" s="6" t="s">
        <v>507</v>
      </c>
      <c r="E36" s="1" t="s">
        <v>10</v>
      </c>
      <c r="F36" s="1" t="s">
        <v>622</v>
      </c>
      <c r="G36" s="1" t="s">
        <v>311</v>
      </c>
      <c r="H36" s="1" t="s">
        <v>6</v>
      </c>
      <c r="I36" s="5" t="e">
        <f>IF(D36="", "", IF(D36="Unknown", "Unknown", TEXT(D36+_xlfn.XLOOKUP(G36,Seeds!A:A,Seeds!I:I),"yyyy-MM-dd")&amp;"—"&amp;TEXT(D36+_xlfn.XLOOKUP(G36,Seeds!A:A,Seeds!J:J),"yyyy-MM-dd")))</f>
        <v>#VALUE!</v>
      </c>
      <c r="J36" s="5" t="s">
        <v>366</v>
      </c>
      <c r="K36" s="5" t="s">
        <v>362</v>
      </c>
      <c r="L36" s="5" t="s">
        <v>366</v>
      </c>
      <c r="M36" s="1" t="s">
        <v>366</v>
      </c>
      <c r="N3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6" s="1" t="s">
        <v>366</v>
      </c>
      <c r="P36" s="1" t="s">
        <v>366</v>
      </c>
      <c r="Q36" s="1" t="s">
        <v>366</v>
      </c>
      <c r="R36" s="1" t="s">
        <v>366</v>
      </c>
      <c r="S36" s="1" t="s">
        <v>366</v>
      </c>
      <c r="T36" s="1" t="s">
        <v>366</v>
      </c>
      <c r="U36" s="1" t="s">
        <v>366</v>
      </c>
      <c r="V36" s="1" t="s">
        <v>366</v>
      </c>
      <c r="W36" s="1" t="s">
        <v>366</v>
      </c>
      <c r="X36" s="6" t="s">
        <v>514</v>
      </c>
      <c r="Y36" s="1" t="s">
        <v>615</v>
      </c>
      <c r="Z36" s="1" t="s">
        <v>366</v>
      </c>
      <c r="AA36" s="1" t="s">
        <v>366</v>
      </c>
      <c r="AB36" s="1" t="s">
        <v>362</v>
      </c>
      <c r="AC36" s="1" t="s">
        <v>362</v>
      </c>
      <c r="AD36" s="1" t="s">
        <v>362</v>
      </c>
      <c r="AE36" s="1" t="s">
        <v>362</v>
      </c>
      <c r="AF36" s="1" t="s">
        <v>362</v>
      </c>
      <c r="AG36" s="1" t="s">
        <v>510</v>
      </c>
    </row>
    <row r="37" spans="1:33">
      <c r="A37" s="6" t="s">
        <v>511</v>
      </c>
      <c r="B37" s="3" t="s">
        <v>366</v>
      </c>
      <c r="C3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7" s="8" t="s">
        <v>507</v>
      </c>
      <c r="E37" s="1" t="s">
        <v>10</v>
      </c>
      <c r="F37" s="3" t="s">
        <v>622</v>
      </c>
      <c r="G37" s="1" t="s">
        <v>311</v>
      </c>
      <c r="H37" s="1" t="s">
        <v>6</v>
      </c>
      <c r="I37" s="5" t="e">
        <f>IF(D37="", "", IF(D37="Unknown", "Unknown", TEXT(D37+_xlfn.XLOOKUP(G37,Seeds!A:A,Seeds!I:I),"yyyy-MM-dd")&amp;"—"&amp;TEXT(D37+_xlfn.XLOOKUP(G37,Seeds!A:A,Seeds!J:J),"yyyy-MM-dd")))</f>
        <v>#VALUE!</v>
      </c>
      <c r="J37" s="5" t="s">
        <v>366</v>
      </c>
      <c r="K37" s="5" t="s">
        <v>362</v>
      </c>
      <c r="L37" s="5" t="s">
        <v>366</v>
      </c>
      <c r="M37" s="1" t="s">
        <v>366</v>
      </c>
      <c r="N3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7" s="1" t="s">
        <v>366</v>
      </c>
      <c r="P37" s="1" t="s">
        <v>366</v>
      </c>
      <c r="Q37" s="1" t="s">
        <v>366</v>
      </c>
      <c r="R37" s="1" t="s">
        <v>366</v>
      </c>
      <c r="S37" s="1" t="s">
        <v>366</v>
      </c>
      <c r="T37" s="1" t="s">
        <v>366</v>
      </c>
      <c r="U37" s="1" t="s">
        <v>366</v>
      </c>
      <c r="V37" s="1" t="s">
        <v>366</v>
      </c>
      <c r="W37" s="1" t="s">
        <v>366</v>
      </c>
      <c r="X37" s="6" t="s">
        <v>514</v>
      </c>
      <c r="Y37" s="1" t="s">
        <v>615</v>
      </c>
      <c r="Z37" s="1" t="s">
        <v>366</v>
      </c>
      <c r="AA37" s="1" t="s">
        <v>366</v>
      </c>
      <c r="AB37" s="1" t="s">
        <v>362</v>
      </c>
      <c r="AC37" s="1" t="s">
        <v>362</v>
      </c>
      <c r="AD37" s="1" t="s">
        <v>362</v>
      </c>
      <c r="AE37" s="1" t="s">
        <v>362</v>
      </c>
      <c r="AF37" s="1" t="s">
        <v>362</v>
      </c>
      <c r="AG37" s="1" t="s">
        <v>510</v>
      </c>
    </row>
    <row r="38" spans="1:33">
      <c r="A38" s="6" t="s">
        <v>512</v>
      </c>
      <c r="B38" s="3" t="s">
        <v>366</v>
      </c>
      <c r="C3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8" s="8" t="s">
        <v>507</v>
      </c>
      <c r="E38" s="1" t="s">
        <v>10</v>
      </c>
      <c r="F38" s="3" t="s">
        <v>622</v>
      </c>
      <c r="G38" s="1" t="s">
        <v>311</v>
      </c>
      <c r="H38" s="1" t="s">
        <v>6</v>
      </c>
      <c r="I38" s="5" t="e">
        <f>IF(D38="", "", IF(D38="Unknown", "Unknown", TEXT(D38+_xlfn.XLOOKUP(G38,Seeds!A:A,Seeds!I:I),"yyyy-MM-dd")&amp;"—"&amp;TEXT(D38+_xlfn.XLOOKUP(G38,Seeds!A:A,Seeds!J:J),"yyyy-MM-dd")))</f>
        <v>#VALUE!</v>
      </c>
      <c r="J38" s="5" t="s">
        <v>366</v>
      </c>
      <c r="K38" s="5" t="s">
        <v>362</v>
      </c>
      <c r="L38" s="5" t="s">
        <v>366</v>
      </c>
      <c r="M38" s="1" t="s">
        <v>366</v>
      </c>
      <c r="N3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8" s="1" t="s">
        <v>366</v>
      </c>
      <c r="P38" s="1" t="s">
        <v>366</v>
      </c>
      <c r="Q38" s="1" t="s">
        <v>366</v>
      </c>
      <c r="R38" s="1" t="s">
        <v>366</v>
      </c>
      <c r="S38" s="1" t="s">
        <v>366</v>
      </c>
      <c r="T38" s="1" t="s">
        <v>366</v>
      </c>
      <c r="U38" s="1" t="s">
        <v>366</v>
      </c>
      <c r="V38" s="1" t="s">
        <v>366</v>
      </c>
      <c r="W38" s="1" t="s">
        <v>366</v>
      </c>
      <c r="X38" s="6" t="s">
        <v>514</v>
      </c>
      <c r="Y38" s="1" t="s">
        <v>615</v>
      </c>
      <c r="Z38" s="1" t="s">
        <v>366</v>
      </c>
      <c r="AA38" s="1" t="s">
        <v>366</v>
      </c>
      <c r="AB38" s="1" t="s">
        <v>362</v>
      </c>
      <c r="AC38" s="1" t="s">
        <v>362</v>
      </c>
      <c r="AD38" s="1" t="s">
        <v>362</v>
      </c>
      <c r="AE38" s="1" t="s">
        <v>362</v>
      </c>
      <c r="AF38" s="1" t="s">
        <v>362</v>
      </c>
      <c r="AG38" s="1" t="s">
        <v>510</v>
      </c>
    </row>
    <row r="39" spans="1:33">
      <c r="A39" s="6" t="s">
        <v>513</v>
      </c>
      <c r="B39" s="1"/>
      <c r="C3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39" s="6" t="s">
        <v>514</v>
      </c>
      <c r="E39" s="1" t="s">
        <v>10</v>
      </c>
      <c r="F39" s="1" t="s">
        <v>622</v>
      </c>
      <c r="G39" s="1" t="s">
        <v>314</v>
      </c>
      <c r="H39" s="1" t="s">
        <v>6</v>
      </c>
      <c r="I39" s="5" t="e">
        <f>IF(D39="", "", IF(D39="Unknown", "Unknown", TEXT(D39+_xlfn.XLOOKUP(G39,Seeds!A:A,Seeds!I:I),"yyyy-MM-dd")&amp;"—"&amp;TEXT(D39+_xlfn.XLOOKUP(G39,Seeds!A:A,Seeds!J:J),"yyyy-MM-dd")))</f>
        <v>#VALUE!</v>
      </c>
      <c r="N3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0" spans="1:33">
      <c r="A40" s="6" t="s">
        <v>515</v>
      </c>
      <c r="B40" s="1"/>
      <c r="C4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0" s="8" t="s">
        <v>514</v>
      </c>
      <c r="E40" s="1" t="s">
        <v>10</v>
      </c>
      <c r="F40" s="3" t="s">
        <v>622</v>
      </c>
      <c r="G40" s="1" t="s">
        <v>314</v>
      </c>
      <c r="H40" s="1" t="s">
        <v>6</v>
      </c>
      <c r="I40" s="5" t="e">
        <f>IF(D40="", "", IF(D40="Unknown", "Unknown", TEXT(D40+_xlfn.XLOOKUP(G40,Seeds!A:A,Seeds!I:I),"yyyy-MM-dd")&amp;"—"&amp;TEXT(D40+_xlfn.XLOOKUP(G40,Seeds!A:A,Seeds!J:J),"yyyy-MM-dd")))</f>
        <v>#VALUE!</v>
      </c>
      <c r="N4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1" spans="1:33">
      <c r="A41" s="6" t="s">
        <v>517</v>
      </c>
      <c r="B41" s="1"/>
      <c r="C4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1" s="8" t="s">
        <v>514</v>
      </c>
      <c r="E41" s="1" t="s">
        <v>10</v>
      </c>
      <c r="F41" s="3" t="s">
        <v>622</v>
      </c>
      <c r="G41" s="1" t="s">
        <v>314</v>
      </c>
      <c r="H41" s="1" t="s">
        <v>6</v>
      </c>
      <c r="I41" s="5" t="e">
        <f>IF(D41="", "", IF(D41="Unknown", "Unknown", TEXT(D41+_xlfn.XLOOKUP(G41,Seeds!A:A,Seeds!I:I),"yyyy-MM-dd")&amp;"—"&amp;TEXT(D41+_xlfn.XLOOKUP(G41,Seeds!A:A,Seeds!J:J),"yyyy-MM-dd")))</f>
        <v>#VALUE!</v>
      </c>
      <c r="N4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2" spans="1:33">
      <c r="B42" s="1"/>
      <c r="C4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2" s="5" t="str">
        <f>IF(D42="", "", IF(D42="Unknown", "Unknown", TEXT(D42+_xlfn.XLOOKUP(G42,Seeds!A:A,Seeds!I:I),"yyyy-MM-dd")&amp;"—"&amp;TEXT(D42+_xlfn.XLOOKUP(G42,Seeds!A:A,Seeds!J:J),"yyyy-MM-dd")))</f>
        <v/>
      </c>
      <c r="N4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3" spans="1:33">
      <c r="B43" s="1"/>
      <c r="C4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3" s="5" t="str">
        <f>IF(D43="", "", IF(D43="Unknown", "Unknown", TEXT(D43+_xlfn.XLOOKUP(G43,Seeds!A:A,Seeds!I:I),"yyyy-MM-dd")&amp;"—"&amp;TEXT(D43+_xlfn.XLOOKUP(G43,Seeds!A:A,Seeds!J:J),"yyyy-MM-dd")))</f>
        <v/>
      </c>
      <c r="N4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4" spans="1:33">
      <c r="B44" s="1"/>
      <c r="C4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4" s="5" t="str">
        <f>IF(D44="", "", IF(D44="Unknown", "Unknown", TEXT(D44+_xlfn.XLOOKUP(G44,Seeds!A:A,Seeds!I:I),"yyyy-MM-dd")&amp;"—"&amp;TEXT(D44+_xlfn.XLOOKUP(G44,Seeds!A:A,Seeds!J:J),"yyyy-MM-dd")))</f>
        <v/>
      </c>
      <c r="N4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5" spans="1:33">
      <c r="B45" s="1"/>
      <c r="C4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5" s="5" t="str">
        <f>IF(D45="", "", IF(D45="Unknown", "Unknown", TEXT(D45+_xlfn.XLOOKUP(G45,Seeds!A:A,Seeds!I:I),"yyyy-MM-dd")&amp;"—"&amp;TEXT(D45+_xlfn.XLOOKUP(G45,Seeds!A:A,Seeds!J:J),"yyyy-MM-dd")))</f>
        <v/>
      </c>
      <c r="N4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6" spans="1:33">
      <c r="B46" s="1"/>
      <c r="C4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6" s="5" t="str">
        <f>IF(D46="", "", IF(D46="Unknown", "Unknown", TEXT(D46+_xlfn.XLOOKUP(G46,Seeds!A:A,Seeds!I:I),"yyyy-MM-dd")&amp;"—"&amp;TEXT(D46+_xlfn.XLOOKUP(G46,Seeds!A:A,Seeds!J:J),"yyyy-MM-dd")))</f>
        <v/>
      </c>
      <c r="N4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7" spans="1:33">
      <c r="B47" s="1"/>
      <c r="C4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7" s="5" t="str">
        <f>IF(D47="", "", IF(D47="Unknown", "Unknown", TEXT(D47+_xlfn.XLOOKUP(G47,Seeds!A:A,Seeds!I:I),"yyyy-MM-dd")&amp;"—"&amp;TEXT(D47+_xlfn.XLOOKUP(G47,Seeds!A:A,Seeds!J:J),"yyyy-MM-dd")))</f>
        <v/>
      </c>
      <c r="N4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8" spans="1:33">
      <c r="B48" s="1"/>
      <c r="C4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8" s="5" t="str">
        <f>IF(D48="", "", IF(D48="Unknown", "Unknown", TEXT(D48+_xlfn.XLOOKUP(G48,Seeds!A:A,Seeds!I:I),"yyyy-MM-dd")&amp;"—"&amp;TEXT(D48+_xlfn.XLOOKUP(G48,Seeds!A:A,Seeds!J:J),"yyyy-MM-dd")))</f>
        <v/>
      </c>
      <c r="N4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9" spans="2:14">
      <c r="B49" s="1"/>
      <c r="C4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9" s="5" t="str">
        <f>IF(D49="", "", IF(D49="Unknown", "Unknown", TEXT(D49+_xlfn.XLOOKUP(G49,Seeds!A:A,Seeds!I:I),"yyyy-MM-dd")&amp;"—"&amp;TEXT(D49+_xlfn.XLOOKUP(G49,Seeds!A:A,Seeds!J:J),"yyyy-MM-dd")))</f>
        <v/>
      </c>
      <c r="N4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0" spans="2:14">
      <c r="B50" s="1"/>
      <c r="C5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0" s="5" t="str">
        <f>IF(D50="", "", IF(D50="Unknown", "Unknown", TEXT(D50+_xlfn.XLOOKUP(G50,Seeds!A:A,Seeds!I:I),"yyyy-MM-dd")&amp;"—"&amp;TEXT(D50+_xlfn.XLOOKUP(G50,Seeds!A:A,Seeds!J:J),"yyyy-MM-dd")))</f>
        <v/>
      </c>
      <c r="N5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1" spans="2:14">
      <c r="B51" s="1"/>
      <c r="C5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1" s="5" t="str">
        <f>IF(D51="", "", IF(D51="Unknown", "Unknown", TEXT(D51+_xlfn.XLOOKUP(G51,Seeds!A:A,Seeds!I:I),"yyyy-MM-dd")&amp;"—"&amp;TEXT(D51+_xlfn.XLOOKUP(G51,Seeds!A:A,Seeds!J:J),"yyyy-MM-dd")))</f>
        <v/>
      </c>
      <c r="N5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2" spans="2:14">
      <c r="B52" s="1"/>
      <c r="C5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2" s="5" t="str">
        <f>IF(D52="", "", IF(D52="Unknown", "Unknown", TEXT(D52+_xlfn.XLOOKUP(G52,Seeds!A:A,Seeds!I:I),"yyyy-MM-dd")&amp;"—"&amp;TEXT(D52+_xlfn.XLOOKUP(G52,Seeds!A:A,Seeds!J:J),"yyyy-MM-dd")))</f>
        <v/>
      </c>
      <c r="N5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3" spans="2:14">
      <c r="B53" s="1"/>
      <c r="C5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3" s="5" t="str">
        <f>IF(D53="", "", IF(D53="Unknown", "Unknown", TEXT(D53+_xlfn.XLOOKUP(G53,Seeds!A:A,Seeds!I:I),"yyyy-MM-dd")&amp;"—"&amp;TEXT(D53+_xlfn.XLOOKUP(G53,Seeds!A:A,Seeds!J:J),"yyyy-MM-dd")))</f>
        <v/>
      </c>
      <c r="N5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4" spans="2:14">
      <c r="B54" s="1"/>
      <c r="C5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4" s="5" t="str">
        <f>IF(D54="", "", IF(D54="Unknown", "Unknown", TEXT(D54+_xlfn.XLOOKUP(G54,Seeds!A:A,Seeds!I:I),"yyyy-MM-dd")&amp;"—"&amp;TEXT(D54+_xlfn.XLOOKUP(G54,Seeds!A:A,Seeds!J:J),"yyyy-MM-dd")))</f>
        <v/>
      </c>
      <c r="N5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5" spans="2:14">
      <c r="B55" s="1"/>
      <c r="C5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5" s="5" t="str">
        <f>IF(D55="", "", IF(D55="Unknown", "Unknown", TEXT(D55+_xlfn.XLOOKUP(G55,Seeds!A:A,Seeds!I:I),"yyyy-MM-dd")&amp;"—"&amp;TEXT(D55+_xlfn.XLOOKUP(G55,Seeds!A:A,Seeds!J:J),"yyyy-MM-dd")))</f>
        <v/>
      </c>
      <c r="N5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6" spans="2:14">
      <c r="B56" s="1"/>
      <c r="C5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6" s="5" t="str">
        <f>IF(D56="", "", IF(D56="Unknown", "Unknown", TEXT(D56+_xlfn.XLOOKUP(G56,Seeds!A:A,Seeds!I:I),"yyyy-MM-dd")&amp;"—"&amp;TEXT(D56+_xlfn.XLOOKUP(G56,Seeds!A:A,Seeds!J:J),"yyyy-MM-dd")))</f>
        <v/>
      </c>
      <c r="N5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7" spans="2:14">
      <c r="B57" s="1"/>
      <c r="C5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7" s="5" t="str">
        <f>IF(D57="", "", IF(D57="Unknown", "Unknown", TEXT(D57+_xlfn.XLOOKUP(G57,Seeds!A:A,Seeds!I:I),"yyyy-MM-dd")&amp;"—"&amp;TEXT(D57+_xlfn.XLOOKUP(G57,Seeds!A:A,Seeds!J:J),"yyyy-MM-dd")))</f>
        <v/>
      </c>
      <c r="N5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8" spans="2:14">
      <c r="B58" s="1"/>
      <c r="C5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8" s="5" t="str">
        <f>IF(D58="", "", IF(D58="Unknown", "Unknown", TEXT(D58+_xlfn.XLOOKUP(G58,Seeds!A:A,Seeds!I:I),"yyyy-MM-dd")&amp;"—"&amp;TEXT(D58+_xlfn.XLOOKUP(G58,Seeds!A:A,Seeds!J:J),"yyyy-MM-dd")))</f>
        <v/>
      </c>
      <c r="N5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9" spans="2:14">
      <c r="B59" s="1"/>
      <c r="C5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9" s="5" t="str">
        <f>IF(D59="", "", IF(D59="Unknown", "Unknown", TEXT(D59+_xlfn.XLOOKUP(G59,Seeds!A:A,Seeds!I:I),"yyyy-MM-dd")&amp;"—"&amp;TEXT(D59+_xlfn.XLOOKUP(G59,Seeds!A:A,Seeds!J:J),"yyyy-MM-dd")))</f>
        <v/>
      </c>
      <c r="N5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0" spans="2:14">
      <c r="B60" s="1"/>
      <c r="C6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0" s="5" t="str">
        <f>IF(D60="", "", IF(D60="Unknown", "Unknown", TEXT(D60+_xlfn.XLOOKUP(G60,Seeds!A:A,Seeds!I:I),"yyyy-MM-dd")&amp;"—"&amp;TEXT(D60+_xlfn.XLOOKUP(G60,Seeds!A:A,Seeds!J:J),"yyyy-MM-dd")))</f>
        <v/>
      </c>
      <c r="N6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1" spans="2:14">
      <c r="B61" s="1"/>
      <c r="C6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1" s="5" t="str">
        <f>IF(D61="", "", IF(D61="Unknown", "Unknown", TEXT(D61+_xlfn.XLOOKUP(G61,Seeds!A:A,Seeds!I:I),"yyyy-MM-dd")&amp;"—"&amp;TEXT(D61+_xlfn.XLOOKUP(G61,Seeds!A:A,Seeds!J:J),"yyyy-MM-dd")))</f>
        <v/>
      </c>
      <c r="N6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2" spans="2:14">
      <c r="B62" s="1"/>
      <c r="C6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2" s="5" t="str">
        <f>IF(D62="", "", IF(D62="Unknown", "Unknown", TEXT(D62+_xlfn.XLOOKUP(G62,Seeds!A:A,Seeds!I:I),"yyyy-MM-dd")&amp;"—"&amp;TEXT(D62+_xlfn.XLOOKUP(G62,Seeds!A:A,Seeds!J:J),"yyyy-MM-dd")))</f>
        <v/>
      </c>
      <c r="N6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3" spans="2:14">
      <c r="B63" s="1"/>
      <c r="C6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3" s="5" t="str">
        <f>IF(D63="", "", IF(D63="Unknown", "Unknown", TEXT(D63+_xlfn.XLOOKUP(G63,Seeds!A:A,Seeds!I:I),"yyyy-MM-dd")&amp;"—"&amp;TEXT(D63+_xlfn.XLOOKUP(G63,Seeds!A:A,Seeds!J:J),"yyyy-MM-dd")))</f>
        <v/>
      </c>
      <c r="N6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4" spans="2:14">
      <c r="B64" s="1"/>
      <c r="C6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4" s="5" t="str">
        <f>IF(D64="", "", IF(D64="Unknown", "Unknown", TEXT(D64+_xlfn.XLOOKUP(G64,Seeds!A:A,Seeds!I:I),"yyyy-MM-dd")&amp;"—"&amp;TEXT(D64+_xlfn.XLOOKUP(G64,Seeds!A:A,Seeds!J:J),"yyyy-MM-dd")))</f>
        <v/>
      </c>
      <c r="N6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5" spans="2:14">
      <c r="B65" s="1"/>
      <c r="C6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5" s="5" t="str">
        <f>IF(D65="", "", IF(D65="Unknown", "Unknown", TEXT(D65+_xlfn.XLOOKUP(G65,Seeds!A:A,Seeds!I:I),"yyyy-MM-dd")&amp;"—"&amp;TEXT(D65+_xlfn.XLOOKUP(G65,Seeds!A:A,Seeds!J:J),"yyyy-MM-dd")))</f>
        <v/>
      </c>
      <c r="N6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6" spans="2:14">
      <c r="B66" s="1"/>
      <c r="C6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6" s="5" t="str">
        <f>IF(D66="", "", IF(D66="Unknown", "Unknown", TEXT(D66+_xlfn.XLOOKUP(G66,Seeds!A:A,Seeds!I:I),"yyyy-MM-dd")&amp;"—"&amp;TEXT(D66+_xlfn.XLOOKUP(G66,Seeds!A:A,Seeds!J:J),"yyyy-MM-dd")))</f>
        <v/>
      </c>
      <c r="N6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</sheetData>
  <conditionalFormatting sqref="A12:J12 A37:A38 A11:Q11 L12:Q12 A13:Q36 A39:Q999999 C37:Q38 R11:AG999999">
    <cfRule type="expression" dxfId="139" priority="1">
      <formula>AND($L11="",$A11&lt;&gt;"")</formula>
    </cfRule>
  </conditionalFormatting>
  <conditionalFormatting sqref="A11:Q11 R11:AG999999 A12:J12 L12:Q12 A13:Q36 A39:Q999999 A37:A38 C37:Q38">
    <cfRule type="expression" dxfId="138" priority="2">
      <formula>AND($X11="",$L11&lt;&gt;"")</formula>
    </cfRule>
  </conditionalFormatting>
  <dataValidations count="5">
    <dataValidation type="list" allowBlank="1" showInputMessage="1" showErrorMessage="1" sqref="O11:O66" xr:uid="{AC4B5F46-6F4C-4F3D-B5B7-77A5FC2A2F7F}">
      <formula1>$O$1:$O$3</formula1>
    </dataValidation>
    <dataValidation type="list" allowBlank="1" showInputMessage="1" showErrorMessage="1" sqref="AB11:AB66" xr:uid="{77479E51-A3AC-4463-B6EE-0FFB60E8CF0A}">
      <formula1>$AB$1:$AB$8</formula1>
    </dataValidation>
    <dataValidation type="list" allowBlank="1" showInputMessage="1" showErrorMessage="1" sqref="AC20 AC22 AC28:AC32" xr:uid="{8FD0B5D5-0FBC-427B-A9A3-7325C70A39B9}">
      <formula1>$AC$1:$AC$4</formula1>
    </dataValidation>
    <dataValidation type="list" allowBlank="1" showInputMessage="1" showErrorMessage="1" sqref="AD20 AD22 AD28:AD32" xr:uid="{EAEF1ADD-F1CA-4A68-A625-8AF802D14572}">
      <formula1>$AD$1:$AD$5</formula1>
    </dataValidation>
    <dataValidation allowBlank="1" showInputMessage="1" showErrorMessage="1" sqref="AB10:AD10" xr:uid="{C74BEBA7-8DC1-4B33-A381-7E8104648D4A}"/>
  </dataValidation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DE70-A795-408C-903D-ECE2FCC5F99A}">
  <dimension ref="A1:K43"/>
  <sheetViews>
    <sheetView workbookViewId="0">
      <pane xSplit="1" topLeftCell="B3" activePane="topRight" state="frozen"/>
      <selection pane="topRight" activeCell="L45" sqref="L45"/>
    </sheetView>
  </sheetViews>
  <sheetFormatPr defaultRowHeight="15"/>
  <cols>
    <col min="1" max="1" width="9.85546875" style="1" customWidth="1"/>
    <col min="2" max="2" width="16.5703125" style="1" customWidth="1"/>
    <col min="3" max="3" width="13" style="1" customWidth="1"/>
    <col min="4" max="5" width="51" style="1" customWidth="1"/>
    <col min="6" max="6" width="44.85546875" style="1" customWidth="1"/>
    <col min="7" max="7" width="18.85546875" style="1" customWidth="1"/>
    <col min="8" max="8" width="20.140625" style="1" customWidth="1"/>
    <col min="9" max="9" width="17.85546875" style="1" customWidth="1"/>
    <col min="10" max="10" width="21.140625" style="1" customWidth="1"/>
    <col min="11" max="11" width="76" style="1" customWidth="1"/>
    <col min="12" max="16384" width="9.140625" style="1"/>
  </cols>
  <sheetData>
    <row r="1" spans="1:11">
      <c r="E1" s="1" t="s">
        <v>362</v>
      </c>
      <c r="J1" s="1" t="s">
        <v>362</v>
      </c>
    </row>
    <row r="2" spans="1:11">
      <c r="E2" s="1" t="s">
        <v>631</v>
      </c>
      <c r="J2" s="1" t="s">
        <v>550</v>
      </c>
    </row>
    <row r="3" spans="1:11">
      <c r="E3" s="3" t="s">
        <v>632</v>
      </c>
      <c r="J3" s="1" t="s">
        <v>633</v>
      </c>
    </row>
    <row r="4" spans="1:11">
      <c r="J4" s="1" t="s">
        <v>634</v>
      </c>
    </row>
    <row r="10" spans="1:11">
      <c r="A10" s="1" t="s">
        <v>3</v>
      </c>
      <c r="B10" s="1" t="s">
        <v>635</v>
      </c>
      <c r="C10" s="1" t="s">
        <v>192</v>
      </c>
      <c r="D10" s="1" t="s">
        <v>636</v>
      </c>
      <c r="E10" s="1" t="s">
        <v>637</v>
      </c>
      <c r="F10" s="1" t="s">
        <v>638</v>
      </c>
      <c r="G10" s="1" t="s">
        <v>639</v>
      </c>
      <c r="H10" s="1" t="s">
        <v>640</v>
      </c>
      <c r="I10" s="1" t="s">
        <v>641</v>
      </c>
      <c r="J10" s="1" t="s">
        <v>642</v>
      </c>
      <c r="K10" s="1" t="s">
        <v>356</v>
      </c>
    </row>
    <row r="11" spans="1:11">
      <c r="A11" s="1">
        <v>1</v>
      </c>
      <c r="B11" s="1" t="s">
        <v>590</v>
      </c>
      <c r="C11" s="1" t="s">
        <v>643</v>
      </c>
      <c r="D11" s="1" t="s">
        <v>644</v>
      </c>
      <c r="E11" s="1" t="s">
        <v>362</v>
      </c>
      <c r="F11" s="4" t="s">
        <v>645</v>
      </c>
      <c r="G11" s="4" t="s">
        <v>646</v>
      </c>
      <c r="H11" s="1" t="s">
        <v>647</v>
      </c>
      <c r="I11" s="1" t="s">
        <v>647</v>
      </c>
      <c r="J11" s="3" t="s">
        <v>362</v>
      </c>
    </row>
    <row r="12" spans="1:11">
      <c r="A12" s="1" t="s">
        <v>10</v>
      </c>
      <c r="B12" s="1" t="s">
        <v>590</v>
      </c>
      <c r="C12" s="1" t="s">
        <v>648</v>
      </c>
      <c r="D12" s="1" t="s">
        <v>644</v>
      </c>
      <c r="E12" s="3" t="s">
        <v>362</v>
      </c>
      <c r="F12" s="1" t="s">
        <v>649</v>
      </c>
      <c r="G12" s="3" t="s">
        <v>646</v>
      </c>
      <c r="H12" s="1" t="s">
        <v>614</v>
      </c>
      <c r="I12" s="1" t="s">
        <v>614</v>
      </c>
      <c r="J12" s="3" t="s">
        <v>362</v>
      </c>
    </row>
    <row r="13" spans="1:11">
      <c r="A13" s="1" t="s">
        <v>14</v>
      </c>
      <c r="B13" s="1" t="s">
        <v>590</v>
      </c>
      <c r="C13" s="1" t="s">
        <v>643</v>
      </c>
      <c r="D13" s="1" t="s">
        <v>644</v>
      </c>
      <c r="E13" s="3" t="s">
        <v>362</v>
      </c>
      <c r="F13" s="1" t="s">
        <v>650</v>
      </c>
      <c r="G13" s="3" t="s">
        <v>646</v>
      </c>
      <c r="H13" s="1" t="s">
        <v>647</v>
      </c>
      <c r="I13" s="1" t="s">
        <v>651</v>
      </c>
      <c r="J13" s="1" t="s">
        <v>362</v>
      </c>
    </row>
    <row r="14" spans="1:11">
      <c r="A14" s="1" t="s">
        <v>381</v>
      </c>
      <c r="B14" s="1" t="s">
        <v>590</v>
      </c>
      <c r="C14" s="1" t="s">
        <v>643</v>
      </c>
      <c r="D14" s="1" t="s">
        <v>644</v>
      </c>
      <c r="E14" s="3" t="s">
        <v>362</v>
      </c>
      <c r="F14" s="1" t="s">
        <v>649</v>
      </c>
      <c r="G14" s="3" t="s">
        <v>646</v>
      </c>
      <c r="H14" s="1" t="s">
        <v>614</v>
      </c>
      <c r="I14" s="1" t="s">
        <v>614</v>
      </c>
      <c r="J14" s="1" t="s">
        <v>362</v>
      </c>
    </row>
    <row r="15" spans="1:11">
      <c r="A15" s="1" t="s">
        <v>319</v>
      </c>
      <c r="B15" s="1" t="s">
        <v>590</v>
      </c>
      <c r="C15" s="1" t="s">
        <v>643</v>
      </c>
      <c r="D15" s="1" t="s">
        <v>644</v>
      </c>
      <c r="E15" s="3" t="s">
        <v>362</v>
      </c>
      <c r="F15" s="1" t="s">
        <v>652</v>
      </c>
      <c r="G15" s="3" t="s">
        <v>646</v>
      </c>
      <c r="H15" s="1" t="s">
        <v>647</v>
      </c>
      <c r="I15" s="6" t="s">
        <v>653</v>
      </c>
      <c r="J15" s="1" t="s">
        <v>362</v>
      </c>
    </row>
    <row r="16" spans="1:11">
      <c r="A16" s="1" t="s">
        <v>390</v>
      </c>
      <c r="B16" s="1" t="s">
        <v>590</v>
      </c>
      <c r="C16" s="1" t="s">
        <v>643</v>
      </c>
      <c r="D16" s="1" t="s">
        <v>644</v>
      </c>
      <c r="E16" s="3" t="s">
        <v>362</v>
      </c>
      <c r="F16" s="1" t="s">
        <v>654</v>
      </c>
      <c r="G16" s="3" t="s">
        <v>646</v>
      </c>
      <c r="H16" s="1" t="s">
        <v>614</v>
      </c>
      <c r="I16" s="8" t="s">
        <v>653</v>
      </c>
      <c r="J16" s="1" t="s">
        <v>362</v>
      </c>
      <c r="K16" s="1" t="s">
        <v>655</v>
      </c>
    </row>
    <row r="17" spans="1:11">
      <c r="A17" s="1" t="s">
        <v>396</v>
      </c>
      <c r="B17" s="1" t="s">
        <v>591</v>
      </c>
      <c r="C17" s="1" t="s">
        <v>643</v>
      </c>
      <c r="D17" s="3" t="s">
        <v>644</v>
      </c>
      <c r="E17" s="3" t="s">
        <v>362</v>
      </c>
      <c r="F17" s="1" t="s">
        <v>656</v>
      </c>
      <c r="G17" s="3" t="s">
        <v>646</v>
      </c>
      <c r="H17" s="6" t="s">
        <v>653</v>
      </c>
      <c r="I17" s="8" t="s">
        <v>653</v>
      </c>
      <c r="J17" s="1" t="s">
        <v>362</v>
      </c>
    </row>
    <row r="18" spans="1:11">
      <c r="A18" s="1" t="s">
        <v>401</v>
      </c>
      <c r="B18" s="6" t="s">
        <v>599</v>
      </c>
      <c r="C18" s="1" t="s">
        <v>643</v>
      </c>
      <c r="D18" s="3" t="s">
        <v>644</v>
      </c>
      <c r="E18" s="3" t="s">
        <v>362</v>
      </c>
      <c r="F18" s="1" t="s">
        <v>656</v>
      </c>
      <c r="G18" s="3" t="s">
        <v>646</v>
      </c>
      <c r="H18" s="1" t="s">
        <v>608</v>
      </c>
      <c r="I18" s="6" t="s">
        <v>657</v>
      </c>
      <c r="J18" s="3" t="s">
        <v>634</v>
      </c>
      <c r="K18" s="1" t="s">
        <v>658</v>
      </c>
    </row>
    <row r="27" spans="1:11">
      <c r="B27" s="25"/>
      <c r="C27" s="25"/>
      <c r="D27" s="26"/>
      <c r="E27" s="26"/>
      <c r="F27" s="24"/>
      <c r="G27" s="26"/>
      <c r="H27" s="26"/>
      <c r="I27" s="26"/>
    </row>
    <row r="28" spans="1:11">
      <c r="B28" s="30"/>
      <c r="C28" s="28"/>
      <c r="D28" s="28"/>
      <c r="E28" s="28"/>
      <c r="F28" s="28"/>
      <c r="G28" s="28"/>
      <c r="H28" s="28"/>
      <c r="I28" s="28"/>
    </row>
    <row r="29" spans="1:11">
      <c r="B29" s="25"/>
      <c r="C29" s="26"/>
      <c r="D29" s="26"/>
      <c r="E29" s="26"/>
      <c r="F29" s="25"/>
      <c r="G29" s="26"/>
      <c r="H29" s="26"/>
      <c r="I29" s="26"/>
    </row>
    <row r="30" spans="1:11">
      <c r="B30" s="30"/>
      <c r="C30" s="28"/>
      <c r="D30" s="28"/>
      <c r="E30" s="28"/>
      <c r="F30" s="29"/>
      <c r="G30" s="28"/>
      <c r="H30" s="28"/>
      <c r="I30" s="28"/>
    </row>
    <row r="31" spans="1:11">
      <c r="B31" s="32"/>
      <c r="C31" s="26"/>
      <c r="D31" s="26"/>
      <c r="E31" s="26"/>
      <c r="F31" s="25"/>
      <c r="G31" s="26"/>
      <c r="H31" s="26"/>
      <c r="I31" s="26"/>
    </row>
    <row r="32" spans="1:11">
      <c r="B32" s="33"/>
      <c r="C32" s="28"/>
      <c r="D32" s="27"/>
      <c r="E32" s="28"/>
      <c r="F32" s="30"/>
      <c r="G32" s="30"/>
      <c r="H32" s="30"/>
      <c r="I32" s="30"/>
    </row>
    <row r="33" spans="2:9">
      <c r="B33" s="31"/>
      <c r="C33" s="26"/>
      <c r="D33" s="26"/>
      <c r="E33" s="26"/>
      <c r="F33" s="25"/>
      <c r="G33" s="25"/>
      <c r="H33" s="25"/>
      <c r="I33" s="25"/>
    </row>
    <row r="34" spans="2:9">
      <c r="B34" s="33"/>
      <c r="C34" s="28"/>
      <c r="D34" s="27"/>
      <c r="E34" s="28"/>
      <c r="F34" s="28"/>
      <c r="G34" s="28"/>
      <c r="H34" s="28"/>
      <c r="I34" s="28"/>
    </row>
    <row r="35" spans="2:9">
      <c r="B35" s="31"/>
      <c r="C35" s="26"/>
      <c r="D35" s="31"/>
      <c r="E35" s="26"/>
      <c r="F35" s="25"/>
      <c r="G35" s="25"/>
      <c r="H35" s="25"/>
      <c r="I35" s="25"/>
    </row>
    <row r="36" spans="2:9">
      <c r="B36" s="33"/>
      <c r="C36" s="28"/>
      <c r="D36" s="33"/>
      <c r="E36" s="27"/>
      <c r="F36" s="28"/>
      <c r="G36" s="28"/>
      <c r="H36" s="28"/>
      <c r="I36" s="28"/>
    </row>
    <row r="37" spans="2:9">
      <c r="B37" s="31"/>
      <c r="C37" s="26"/>
      <c r="D37" s="31"/>
      <c r="E37" s="26"/>
      <c r="F37" s="26"/>
      <c r="G37" s="26"/>
      <c r="H37" s="26"/>
      <c r="I37" s="26"/>
    </row>
    <row r="38" spans="2:9">
      <c r="B38" s="33"/>
      <c r="C38" s="28"/>
      <c r="D38" s="33"/>
      <c r="E38" s="27"/>
      <c r="F38" s="28"/>
      <c r="G38" s="28"/>
      <c r="H38" s="28"/>
      <c r="I38" s="28"/>
    </row>
    <row r="39" spans="2:9">
      <c r="B39" s="31"/>
      <c r="C39" s="26"/>
      <c r="D39" s="31"/>
      <c r="E39" s="26"/>
      <c r="F39" s="26"/>
      <c r="G39" s="26"/>
      <c r="H39" s="26"/>
      <c r="I39" s="26"/>
    </row>
    <row r="40" spans="2:9">
      <c r="B40" s="27"/>
      <c r="C40" s="28"/>
      <c r="D40" s="27"/>
      <c r="E40" s="28"/>
      <c r="F40" s="28"/>
      <c r="G40" s="28"/>
      <c r="H40" s="28"/>
      <c r="I40" s="28"/>
    </row>
    <row r="41" spans="2:9">
      <c r="B41" s="32"/>
      <c r="C41" s="26"/>
      <c r="D41" s="26"/>
      <c r="E41" s="26"/>
      <c r="F41" s="26"/>
      <c r="G41" s="26"/>
      <c r="H41" s="26"/>
      <c r="I41" s="26"/>
    </row>
    <row r="42" spans="2:9">
      <c r="B42" s="27"/>
      <c r="C42" s="28"/>
      <c r="D42" s="28"/>
      <c r="E42" s="28"/>
      <c r="F42" s="28"/>
      <c r="G42" s="28"/>
      <c r="H42" s="28"/>
      <c r="I42" s="28"/>
    </row>
    <row r="43" spans="2:9">
      <c r="B43" s="32"/>
      <c r="C43" s="26"/>
      <c r="D43" s="26"/>
      <c r="E43" s="26"/>
      <c r="F43" s="26"/>
      <c r="G43" s="26"/>
      <c r="H43" s="26"/>
      <c r="I43" s="26"/>
    </row>
  </sheetData>
  <conditionalFormatting sqref="B27:I43">
    <cfRule type="expression" dxfId="102" priority="1">
      <formula>AND(#REF!="",$A37&lt;&gt;"")</formula>
    </cfRule>
  </conditionalFormatting>
  <conditionalFormatting sqref="B27:I43">
    <cfRule type="expression" dxfId="101" priority="75">
      <formula>AND($I27="",#REF!&lt;&gt;"")</formula>
    </cfRule>
  </conditionalFormatting>
  <dataValidations count="2">
    <dataValidation type="list" allowBlank="1" showInputMessage="1" showErrorMessage="1" sqref="J10:J44" xr:uid="{85662B6D-2A70-4AC4-A057-72959FA3D8F3}">
      <formula1>$J$1:$J$4</formula1>
    </dataValidation>
    <dataValidation type="list" allowBlank="1" showInputMessage="1" showErrorMessage="1" sqref="E11" xr:uid="{C3061E25-9743-46A0-9F55-2A2658F21560}">
      <formula1>$E$1:$E$4</formula1>
    </dataValidation>
  </dataValidation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7ADB-5BE1-4686-981F-7FE6D5A7CCA1}">
  <dimension ref="A9:S35"/>
  <sheetViews>
    <sheetView workbookViewId="0"/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21" customWidth="1"/>
    <col min="9" max="9" width="28.85546875" customWidth="1"/>
    <col min="10" max="10" width="28.85546875" hidden="1" customWidth="1"/>
    <col min="11" max="12" width="20.5703125" customWidth="1"/>
    <col min="15" max="16" width="0" hidden="1" customWidth="1"/>
    <col min="17" max="17" width="11.42578125" bestFit="1" customWidth="1"/>
    <col min="18" max="18" width="25" customWidth="1"/>
    <col min="19" max="19" width="25.5703125" customWidth="1"/>
  </cols>
  <sheetData>
    <row r="9" spans="1:19">
      <c r="F9" t="s">
        <v>659</v>
      </c>
      <c r="G9" t="s">
        <v>659</v>
      </c>
      <c r="H9" t="s">
        <v>659</v>
      </c>
      <c r="I9" t="s">
        <v>659</v>
      </c>
      <c r="J9" t="s">
        <v>659</v>
      </c>
      <c r="R9" t="s">
        <v>659</v>
      </c>
      <c r="S9" t="s">
        <v>659</v>
      </c>
    </row>
    <row r="10" spans="1:19">
      <c r="A10" t="s">
        <v>33</v>
      </c>
      <c r="B10" t="s">
        <v>660</v>
      </c>
      <c r="C10" t="s">
        <v>344</v>
      </c>
      <c r="D10" t="s">
        <v>661</v>
      </c>
      <c r="E10" t="s">
        <v>337</v>
      </c>
      <c r="F10" t="s">
        <v>188</v>
      </c>
      <c r="G10" t="s">
        <v>662</v>
      </c>
      <c r="H10" t="s">
        <v>341</v>
      </c>
      <c r="I10" t="s">
        <v>342</v>
      </c>
      <c r="J10" t="s">
        <v>663</v>
      </c>
      <c r="K10" t="s">
        <v>352</v>
      </c>
      <c r="L10" t="s">
        <v>534</v>
      </c>
      <c r="Q10" t="s">
        <v>33</v>
      </c>
      <c r="R10" t="s">
        <v>664</v>
      </c>
      <c r="S10" t="s">
        <v>536</v>
      </c>
    </row>
    <row r="11" spans="1:19">
      <c r="A11" t="s">
        <v>455</v>
      </c>
      <c r="B11" t="s">
        <v>488</v>
      </c>
      <c r="C11" t="s">
        <v>185</v>
      </c>
      <c r="D11" t="s">
        <v>362</v>
      </c>
      <c r="E11" t="s">
        <v>366</v>
      </c>
      <c r="F11" t="s">
        <v>44</v>
      </c>
      <c r="G11">
        <f>IFERROR(VALUE(xxx_JarsPlusPlus_126[[#This Row],[Water Added (mL)]]), 0)</f>
        <v>0</v>
      </c>
      <c r="H11" t="s">
        <v>665</v>
      </c>
      <c r="I11" t="s">
        <v>666</v>
      </c>
      <c r="J11">
        <f>IFERROR(VALUE(xxx_JarsPlusPlus_126[[#This Row],[Fertilizer Added (g)]]), 0)</f>
        <v>1.05</v>
      </c>
      <c r="K11" t="s">
        <v>184</v>
      </c>
      <c r="L11" t="s">
        <v>362</v>
      </c>
      <c r="N11" t="str" cm="1">
        <f t="array" ref="N11:P15">_xlfn.LET(
    _xlpm.data,
    _xlfn.GROUPBY(
        xxx_JarsPlusPlus_126[Jar],
        _xlfn.HSTACK(xxx_JarsPlusPlus_126[V:Water Added (mL)],
            xxx_JarsPlusPlus_126[V:Fertilizer Added (g)]
        ),
        _xleta.SUM,,
        0,,
        xxx_JarsPlusPlus_126[Jar]&lt;&gt;""
    ),
    _xlfn.SORTBY(_xlpm.data, VALUE(_xlfn.CHOOSECOLS(_xlpm.data, 1)), 1)
)</f>
        <v>19</v>
      </c>
      <c r="O11">
        <v>0</v>
      </c>
      <c r="P11">
        <v>1.05</v>
      </c>
      <c r="Q11" t="str" cm="1">
        <f t="array" aca="1" ref="Q11" ca="1">_xlfn.LET(_xlpm.value, OFFSET(INDIRECT(ADDRESS(ROW(),COLUMN())),0,-3), IF(_xlpm.value="","",_xlpm.value))</f>
        <v>19</v>
      </c>
      <c r="R11" cm="1">
        <f t="array" aca="1" ref="R11" ca="1">_xlfn.LET(_xlpm.value, OFFSET(INDIRECT(ADDRESS(ROW(),COLUMN())),0,-3), IF(_xlpm.value="","",_xlpm.value))</f>
        <v>0</v>
      </c>
      <c r="S11" cm="1">
        <f t="array" aca="1" ref="S11" ca="1">_xlfn.LET(_xlpm.value, OFFSET(INDIRECT(ADDRESS(ROW(),COLUMN())),0,-3), IF(_xlpm.value="","",_xlpm.value))</f>
        <v>1.05</v>
      </c>
    </row>
    <row r="12" spans="1:19">
      <c r="A12" t="s">
        <v>464</v>
      </c>
      <c r="B12" t="s">
        <v>488</v>
      </c>
      <c r="C12" t="s">
        <v>531</v>
      </c>
      <c r="D12" t="s">
        <v>362</v>
      </c>
      <c r="E12" t="s">
        <v>366</v>
      </c>
      <c r="F12" t="s">
        <v>44</v>
      </c>
      <c r="G12">
        <f>IFERROR(VALUE(xxx_JarsPlusPlus_126[[#This Row],[Water Added (mL)]]), 0)</f>
        <v>0</v>
      </c>
      <c r="H12" t="s">
        <v>626</v>
      </c>
      <c r="I12" t="s">
        <v>667</v>
      </c>
      <c r="J12">
        <f>IFERROR(VALUE(xxx_JarsPlusPlus_126[[#This Row],[Fertilizer Added (g)]]), 0)</f>
        <v>1.52</v>
      </c>
      <c r="K12" t="s">
        <v>185</v>
      </c>
      <c r="L12" t="s">
        <v>362</v>
      </c>
      <c r="N12" t="str">
        <v>21</v>
      </c>
      <c r="O12">
        <v>0</v>
      </c>
      <c r="P12">
        <v>1.52</v>
      </c>
      <c r="Q12" t="str" cm="1">
        <f t="array" aca="1" ref="Q12" ca="1">_xlfn.LET(_xlpm.value, OFFSET(INDIRECT(ADDRESS(ROW(),COLUMN())),0,-3), IF(_xlpm.value="","",_xlpm.value))</f>
        <v>21</v>
      </c>
      <c r="R12" cm="1">
        <f t="array" aca="1" ref="R12" ca="1">_xlfn.LET(_xlpm.value, OFFSET(INDIRECT(ADDRESS(ROW(),COLUMN())),0,-3), IF(_xlpm.value="","",_xlpm.value))</f>
        <v>0</v>
      </c>
      <c r="S12" cm="1">
        <f t="array" aca="1" ref="S12" ca="1">_xlfn.LET(_xlpm.value, OFFSET(INDIRECT(ADDRESS(ROW(),COLUMN())),0,-3), IF(_xlpm.value="","",_xlpm.value))</f>
        <v>1.52</v>
      </c>
    </row>
    <row r="13" spans="1:19">
      <c r="A13" t="s">
        <v>486</v>
      </c>
      <c r="B13" t="s">
        <v>488</v>
      </c>
      <c r="C13" t="s">
        <v>362</v>
      </c>
      <c r="D13" t="s">
        <v>362</v>
      </c>
      <c r="E13" t="s">
        <v>366</v>
      </c>
      <c r="F13" t="s">
        <v>44</v>
      </c>
      <c r="G13">
        <f>IFERROR(VALUE(xxx_JarsPlusPlus_126[[#This Row],[Water Added (mL)]]), 0)</f>
        <v>0</v>
      </c>
      <c r="H13" t="s">
        <v>57</v>
      </c>
      <c r="I13" t="s">
        <v>426</v>
      </c>
      <c r="J13">
        <f>IFERROR(VALUE(xxx_JarsPlusPlus_126[[#This Row],[Fertilizer Added (g)]]), 0)</f>
        <v>1.8</v>
      </c>
      <c r="K13" t="s">
        <v>184</v>
      </c>
      <c r="L13" t="s">
        <v>362</v>
      </c>
      <c r="N13" t="str">
        <v>27</v>
      </c>
      <c r="O13">
        <v>0</v>
      </c>
      <c r="P13">
        <v>1.8</v>
      </c>
      <c r="Q13" t="str" cm="1">
        <f t="array" aca="1" ref="Q13" ca="1">_xlfn.LET(_xlpm.value, OFFSET(INDIRECT(ADDRESS(ROW(),COLUMN())),0,-3), IF(_xlpm.value="","",_xlpm.value))</f>
        <v>27</v>
      </c>
      <c r="R13" cm="1">
        <f t="array" aca="1" ref="R13" ca="1">_xlfn.LET(_xlpm.value, OFFSET(INDIRECT(ADDRESS(ROW(),COLUMN())),0,-3), IF(_xlpm.value="","",_xlpm.value))</f>
        <v>0</v>
      </c>
      <c r="S13" cm="1">
        <f t="array" aca="1" ref="S13" ca="1">_xlfn.LET(_xlpm.value, OFFSET(INDIRECT(ADDRESS(ROW(),COLUMN())),0,-3), IF(_xlpm.value="","",_xlpm.value))</f>
        <v>1.8</v>
      </c>
    </row>
    <row r="14" spans="1:19">
      <c r="A14" t="s">
        <v>489</v>
      </c>
      <c r="B14" t="s">
        <v>488</v>
      </c>
      <c r="C14" t="s">
        <v>185</v>
      </c>
      <c r="D14" t="s">
        <v>362</v>
      </c>
      <c r="E14" t="s">
        <v>366</v>
      </c>
      <c r="F14" t="s">
        <v>44</v>
      </c>
      <c r="G14">
        <f>IFERROR(VALUE(xxx_JarsPlusPlus_126[[#This Row],[Water Added (mL)]]), 0)</f>
        <v>0</v>
      </c>
      <c r="H14" t="s">
        <v>58</v>
      </c>
      <c r="I14" t="s">
        <v>668</v>
      </c>
      <c r="J14">
        <f>IFERROR(VALUE(xxx_JarsPlusPlus_126[[#This Row],[Fertilizer Added (g)]]), 0)</f>
        <v>0.69399999999999995</v>
      </c>
      <c r="K14" t="s">
        <v>184</v>
      </c>
      <c r="L14" t="s">
        <v>362</v>
      </c>
      <c r="N14" t="str">
        <v>28</v>
      </c>
      <c r="O14">
        <v>0</v>
      </c>
      <c r="P14">
        <v>0.69399999999999995</v>
      </c>
      <c r="Q14" t="str" cm="1">
        <f t="array" aca="1" ref="Q14" ca="1">_xlfn.LET(_xlpm.value, OFFSET(INDIRECT(ADDRESS(ROW(),COLUMN())),0,-3), IF(_xlpm.value="","",_xlpm.value))</f>
        <v>28</v>
      </c>
      <c r="R14" cm="1">
        <f t="array" aca="1" ref="R14" ca="1">_xlfn.LET(_xlpm.value, OFFSET(INDIRECT(ADDRESS(ROW(),COLUMN())),0,-3), IF(_xlpm.value="","",_xlpm.value))</f>
        <v>0</v>
      </c>
      <c r="S14" cm="1">
        <f t="array" aca="1" ref="S14" ca="1">_xlfn.LET(_xlpm.value, OFFSET(INDIRECT(ADDRESS(ROW(),COLUMN())),0,-3), IF(_xlpm.value="","",_xlpm.value))</f>
        <v>0.69399999999999995</v>
      </c>
    </row>
    <row r="15" spans="1:19">
      <c r="A15" t="s">
        <v>494</v>
      </c>
      <c r="B15" t="s">
        <v>488</v>
      </c>
      <c r="C15" t="s">
        <v>185</v>
      </c>
      <c r="D15" t="s">
        <v>362</v>
      </c>
      <c r="E15" t="s">
        <v>366</v>
      </c>
      <c r="F15" t="s">
        <v>44</v>
      </c>
      <c r="G15">
        <f>IFERROR(VALUE(xxx_JarsPlusPlus_126[[#This Row],[Water Added (mL)]]), 0)</f>
        <v>0</v>
      </c>
      <c r="H15" t="s">
        <v>665</v>
      </c>
      <c r="I15" t="s">
        <v>669</v>
      </c>
      <c r="J15">
        <f>IFERROR(VALUE(xxx_JarsPlusPlus_126[[#This Row],[Fertilizer Added (g)]]), 0)</f>
        <v>0.89200000000000002</v>
      </c>
      <c r="K15" t="s">
        <v>185</v>
      </c>
      <c r="L15" t="s">
        <v>362</v>
      </c>
      <c r="N15" t="str">
        <v>29</v>
      </c>
      <c r="O15">
        <v>0</v>
      </c>
      <c r="P15">
        <v>0.89200000000000002</v>
      </c>
      <c r="Q15" t="str" cm="1">
        <f t="array" aca="1" ref="Q15" ca="1">_xlfn.LET(_xlpm.value, OFFSET(INDIRECT(ADDRESS(ROW(),COLUMN())),0,-3), IF(_xlpm.value="","",_xlpm.value))</f>
        <v>29</v>
      </c>
      <c r="R15" cm="1">
        <f t="array" aca="1" ref="R15" ca="1">_xlfn.LET(_xlpm.value, OFFSET(INDIRECT(ADDRESS(ROW(),COLUMN())),0,-3), IF(_xlpm.value="","",_xlpm.value))</f>
        <v>0</v>
      </c>
      <c r="S15" cm="1">
        <f t="array" aca="1" ref="S15" ca="1">_xlfn.LET(_xlpm.value, OFFSET(INDIRECT(ADDRESS(ROW(),COLUMN())),0,-3), IF(_xlpm.value="","",_xlpm.value))</f>
        <v>0.89200000000000002</v>
      </c>
    </row>
    <row r="16" spans="1:19">
      <c r="Q16" t="str" cm="1">
        <f t="array" aca="1" ref="Q16" ca="1">_xlfn.LET(_xlpm.value, OFFSET(INDIRECT(ADDRESS(ROW(),COLUMN())),0,-3), IF(_xlpm.value="","",_xlpm.value))</f>
        <v/>
      </c>
      <c r="R16" t="str" cm="1">
        <f t="array" aca="1" ref="R16" ca="1">_xlfn.LET(_xlpm.value, OFFSET(INDIRECT(ADDRESS(ROW(),COLUMN())),0,-3), IF(_xlpm.value="","",_xlpm.value))</f>
        <v/>
      </c>
      <c r="S16" t="str" cm="1">
        <f t="array" aca="1" ref="S16" ca="1">_xlfn.LET(_xlpm.value, OFFSET(INDIRECT(ADDRESS(ROW(),COLUMN())),0,-3), IF(_xlpm.value="","",_xlpm.value))</f>
        <v/>
      </c>
    </row>
    <row r="17" spans="7:19">
      <c r="G17">
        <f>IFERROR(VALUE(xxx_JarsPlusPlus_126[[#This Row],[Water Added (mL)]]), 0)</f>
        <v>0</v>
      </c>
      <c r="Q17" t="str" cm="1">
        <f t="array" aca="1" ref="Q17" ca="1">_xlfn.LET(_xlpm.value, OFFSET(INDIRECT(ADDRESS(ROW(),COLUMN())),0,-3), IF(_xlpm.value="","",_xlpm.value))</f>
        <v/>
      </c>
      <c r="R17" t="str" cm="1">
        <f t="array" aca="1" ref="R17" ca="1">_xlfn.LET(_xlpm.value, OFFSET(INDIRECT(ADDRESS(ROW(),COLUMN())),0,-3), IF(_xlpm.value="","",_xlpm.value))</f>
        <v/>
      </c>
      <c r="S17" t="str" cm="1">
        <f t="array" aca="1" ref="S17" ca="1">_xlfn.LET(_xlpm.value, OFFSET(INDIRECT(ADDRESS(ROW(),COLUMN())),0,-3), IF(_xlpm.value="","",_xlpm.value))</f>
        <v/>
      </c>
    </row>
    <row r="18" spans="7:19">
      <c r="G18">
        <f>IFERROR(VALUE(xxx_JarsPlusPlus_126[[#This Row],[Water Added (mL)]]), 0)</f>
        <v>0</v>
      </c>
      <c r="Q18" t="str" cm="1">
        <f t="array" aca="1" ref="Q18" ca="1">_xlfn.LET(_xlpm.value, OFFSET(INDIRECT(ADDRESS(ROW(),COLUMN())),0,-3), IF(_xlpm.value="","",_xlpm.value))</f>
        <v/>
      </c>
      <c r="R18" t="str" cm="1">
        <f t="array" aca="1" ref="R18" ca="1">_xlfn.LET(_xlpm.value, OFFSET(INDIRECT(ADDRESS(ROW(),COLUMN())),0,-3), IF(_xlpm.value="","",_xlpm.value))</f>
        <v/>
      </c>
      <c r="S18" t="str" cm="1">
        <f t="array" aca="1" ref="S18" ca="1">_xlfn.LET(_xlpm.value, OFFSET(INDIRECT(ADDRESS(ROW(),COLUMN())),0,-3), IF(_xlpm.value="","",_xlpm.value))</f>
        <v/>
      </c>
    </row>
    <row r="19" spans="7:19">
      <c r="G19">
        <f>IFERROR(VALUE(xxx_JarsPlusPlus_126[[#This Row],[Water Added (mL)]]), 0)</f>
        <v>0</v>
      </c>
      <c r="Q19" t="str" cm="1">
        <f t="array" aca="1" ref="Q19" ca="1">_xlfn.LET(_xlpm.value, OFFSET(INDIRECT(ADDRESS(ROW(),COLUMN())),0,-3), IF(_xlpm.value="","",_xlpm.value))</f>
        <v/>
      </c>
      <c r="R19" t="str" cm="1">
        <f t="array" aca="1" ref="R19" ca="1">_xlfn.LET(_xlpm.value, OFFSET(INDIRECT(ADDRESS(ROW(),COLUMN())),0,-3), IF(_xlpm.value="","",_xlpm.value))</f>
        <v/>
      </c>
      <c r="S19" t="str" cm="1">
        <f t="array" aca="1" ref="S19" ca="1">_xlfn.LET(_xlpm.value, OFFSET(INDIRECT(ADDRESS(ROW(),COLUMN())),0,-3), IF(_xlpm.value="","",_xlpm.value))</f>
        <v/>
      </c>
    </row>
    <row r="20" spans="7:19">
      <c r="G20">
        <f>IFERROR(VALUE(xxx_JarsPlusPlus_126[[#This Row],[Water Added (mL)]]), 0)</f>
        <v>0</v>
      </c>
      <c r="Q20" t="str" cm="1">
        <f t="array" aca="1" ref="Q20" ca="1">_xlfn.LET(_xlpm.value, OFFSET(INDIRECT(ADDRESS(ROW(),COLUMN())),0,-3), IF(_xlpm.value="","",_xlpm.value))</f>
        <v/>
      </c>
      <c r="R20" t="str" cm="1">
        <f t="array" aca="1" ref="R20" ca="1">_xlfn.LET(_xlpm.value, OFFSET(INDIRECT(ADDRESS(ROW(),COLUMN())),0,-3), IF(_xlpm.value="","",_xlpm.value))</f>
        <v/>
      </c>
      <c r="S20" t="str" cm="1">
        <f t="array" aca="1" ref="S20" ca="1">_xlfn.LET(_xlpm.value, OFFSET(INDIRECT(ADDRESS(ROW(),COLUMN())),0,-3), IF(_xlpm.value="","",_xlpm.value))</f>
        <v/>
      </c>
    </row>
    <row r="21" spans="7:19">
      <c r="G21">
        <f>IFERROR(VALUE(xxx_JarsPlusPlus_126[[#This Row],[Water Added (mL)]]), 0)</f>
        <v>0</v>
      </c>
      <c r="Q21" t="str" cm="1">
        <f t="array" aca="1" ref="Q21" ca="1">_xlfn.LET(_xlpm.value, OFFSET(INDIRECT(ADDRESS(ROW(),COLUMN())),0,-3), IF(_xlpm.value="","",_xlpm.value))</f>
        <v/>
      </c>
      <c r="R21" t="str" cm="1">
        <f t="array" aca="1" ref="R21" ca="1">_xlfn.LET(_xlpm.value, OFFSET(INDIRECT(ADDRESS(ROW(),COLUMN())),0,-3), IF(_xlpm.value="","",_xlpm.value))</f>
        <v/>
      </c>
      <c r="S21" t="str" cm="1">
        <f t="array" aca="1" ref="S21" ca="1">_xlfn.LET(_xlpm.value, OFFSET(INDIRECT(ADDRESS(ROW(),COLUMN())),0,-3), IF(_xlpm.value="","",_xlpm.value))</f>
        <v/>
      </c>
    </row>
    <row r="22" spans="7:19">
      <c r="G22">
        <f>IFERROR(VALUE(xxx_JarsPlusPlus_126[[#This Row],[Water Added (mL)]]), 0)</f>
        <v>0</v>
      </c>
      <c r="Q22" t="str" cm="1">
        <f t="array" aca="1" ref="Q22" ca="1">_xlfn.LET(_xlpm.value, OFFSET(INDIRECT(ADDRESS(ROW(),COLUMN())),0,-3), IF(_xlpm.value="","",_xlpm.value))</f>
        <v/>
      </c>
      <c r="R22" t="str" cm="1">
        <f t="array" aca="1" ref="R22" ca="1">_xlfn.LET(_xlpm.value, OFFSET(INDIRECT(ADDRESS(ROW(),COLUMN())),0,-3), IF(_xlpm.value="","",_xlpm.value))</f>
        <v/>
      </c>
      <c r="S22" t="str" cm="1">
        <f t="array" aca="1" ref="S22" ca="1">_xlfn.LET(_xlpm.value, OFFSET(INDIRECT(ADDRESS(ROW(),COLUMN())),0,-3), IF(_xlpm.value="","",_xlpm.value))</f>
        <v/>
      </c>
    </row>
    <row r="23" spans="7:19">
      <c r="G23">
        <f>IFERROR(VALUE(xxx_JarsPlusPlus_126[[#This Row],[Water Added (mL)]]), 0)</f>
        <v>0</v>
      </c>
      <c r="Q23" t="str" cm="1">
        <f t="array" aca="1" ref="Q23" ca="1">_xlfn.LET(_xlpm.value, OFFSET(INDIRECT(ADDRESS(ROW(),COLUMN())),0,-3), IF(_xlpm.value="","",_xlpm.value))</f>
        <v/>
      </c>
      <c r="R23" t="str" cm="1">
        <f t="array" aca="1" ref="R23" ca="1">_xlfn.LET(_xlpm.value, OFFSET(INDIRECT(ADDRESS(ROW(),COLUMN())),0,-3), IF(_xlpm.value="","",_xlpm.value))</f>
        <v/>
      </c>
      <c r="S23" t="str" cm="1">
        <f t="array" aca="1" ref="S23" ca="1">_xlfn.LET(_xlpm.value, OFFSET(INDIRECT(ADDRESS(ROW(),COLUMN())),0,-3), IF(_xlpm.value="","",_xlpm.value))</f>
        <v/>
      </c>
    </row>
    <row r="24" spans="7:19">
      <c r="G24">
        <f>IFERROR(VALUE(xxx_JarsPlusPlus_126[[#This Row],[Water Added (mL)]]), 0)</f>
        <v>0</v>
      </c>
      <c r="Q24" t="str" cm="1">
        <f t="array" aca="1" ref="Q24" ca="1">_xlfn.LET(_xlpm.value, OFFSET(INDIRECT(ADDRESS(ROW(),COLUMN())),0,-3), IF(_xlpm.value="","",_xlpm.value))</f>
        <v/>
      </c>
      <c r="R24" t="str" cm="1">
        <f t="array" aca="1" ref="R24" ca="1">_xlfn.LET(_xlpm.value, OFFSET(INDIRECT(ADDRESS(ROW(),COLUMN())),0,-3), IF(_xlpm.value="","",_xlpm.value))</f>
        <v/>
      </c>
      <c r="S24" t="str" cm="1">
        <f t="array" aca="1" ref="S24" ca="1">_xlfn.LET(_xlpm.value, OFFSET(INDIRECT(ADDRESS(ROW(),COLUMN())),0,-3), IF(_xlpm.value="","",_xlpm.value))</f>
        <v/>
      </c>
    </row>
    <row r="25" spans="7:19">
      <c r="G25">
        <f>IFERROR(VALUE(xxx_JarsPlusPlus_126[[#This Row],[Water Added (mL)]]), 0)</f>
        <v>0</v>
      </c>
      <c r="J25">
        <f>IFERROR(VALUE(xxx_JarsPlusPlus_126[[#This Row],[Fertilizer Added (g)]]), 0)</f>
        <v>0</v>
      </c>
      <c r="Q25" t="str" cm="1">
        <f t="array" aca="1" ref="Q25" ca="1">_xlfn.LET(_xlpm.value, OFFSET(INDIRECT(ADDRESS(ROW(),COLUMN())),0,-3), IF(_xlpm.value="","",_xlpm.value))</f>
        <v/>
      </c>
      <c r="R25" t="str" cm="1">
        <f t="array" aca="1" ref="R25" ca="1">_xlfn.LET(_xlpm.value, OFFSET(INDIRECT(ADDRESS(ROW(),COLUMN())),0,-3), IF(_xlpm.value="","",_xlpm.value))</f>
        <v/>
      </c>
      <c r="S25" t="str" cm="1">
        <f t="array" aca="1" ref="S25" ca="1">_xlfn.LET(_xlpm.value, OFFSET(INDIRECT(ADDRESS(ROW(),COLUMN())),0,-3), IF(_xlpm.value="","",_xlpm.value))</f>
        <v/>
      </c>
    </row>
    <row r="26" spans="7:19">
      <c r="G26">
        <f>IFERROR(VALUE(xxx_JarsPlusPlus_126[[#This Row],[Water Added (mL)]]), 0)</f>
        <v>0</v>
      </c>
      <c r="J26">
        <f>IFERROR(VALUE(xxx_JarsPlusPlus_126[[#This Row],[Fertilizer Added (g)]]), 0)</f>
        <v>0</v>
      </c>
      <c r="Q26" t="str" cm="1">
        <f t="array" aca="1" ref="Q26" ca="1">_xlfn.LET(_xlpm.value, OFFSET(INDIRECT(ADDRESS(ROW(),COLUMN())),0,-3), IF(_xlpm.value="","",_xlpm.value))</f>
        <v/>
      </c>
      <c r="R26" t="str" cm="1">
        <f t="array" aca="1" ref="R26" ca="1">_xlfn.LET(_xlpm.value, OFFSET(INDIRECT(ADDRESS(ROW(),COLUMN())),0,-3), IF(_xlpm.value="","",_xlpm.value))</f>
        <v/>
      </c>
      <c r="S26" t="str" cm="1">
        <f t="array" aca="1" ref="S26" ca="1">_xlfn.LET(_xlpm.value, OFFSET(INDIRECT(ADDRESS(ROW(),COLUMN())),0,-3), IF(_xlpm.value="","",_xlpm.value))</f>
        <v/>
      </c>
    </row>
    <row r="27" spans="7:19">
      <c r="G27">
        <f>IFERROR(VALUE(xxx_JarsPlusPlus_126[[#This Row],[Water Added (mL)]]), 0)</f>
        <v>0</v>
      </c>
      <c r="J27">
        <f>IFERROR(VALUE(xxx_JarsPlusPlus_126[[#This Row],[Fertilizer Added (g)]]), 0)</f>
        <v>0</v>
      </c>
      <c r="Q27" t="str" cm="1">
        <f t="array" aca="1" ref="Q27" ca="1">_xlfn.LET(_xlpm.value, OFFSET(INDIRECT(ADDRESS(ROW(),COLUMN())),0,-3), IF(_xlpm.value="","",_xlpm.value))</f>
        <v/>
      </c>
      <c r="R27" t="str" cm="1">
        <f t="array" aca="1" ref="R27" ca="1">_xlfn.LET(_xlpm.value, OFFSET(INDIRECT(ADDRESS(ROW(),COLUMN())),0,-3), IF(_xlpm.value="","",_xlpm.value))</f>
        <v/>
      </c>
      <c r="S27" t="str" cm="1">
        <f t="array" aca="1" ref="S27" ca="1">_xlfn.LET(_xlpm.value, OFFSET(INDIRECT(ADDRESS(ROW(),COLUMN())),0,-3), IF(_xlpm.value="","",_xlpm.value))</f>
        <v/>
      </c>
    </row>
    <row r="28" spans="7:19">
      <c r="G28">
        <f>IFERROR(VALUE(xxx_JarsPlusPlus_126[[#This Row],[Water Added (mL)]]), 0)</f>
        <v>0</v>
      </c>
      <c r="Q28" t="str" cm="1">
        <f t="array" aca="1" ref="Q28" ca="1">_xlfn.LET(_xlpm.value, OFFSET(INDIRECT(ADDRESS(ROW(),COLUMN())),0,-3), IF(_xlpm.value="","",_xlpm.value))</f>
        <v/>
      </c>
      <c r="R28" t="str" cm="1">
        <f t="array" aca="1" ref="R28" ca="1">_xlfn.LET(_xlpm.value, OFFSET(INDIRECT(ADDRESS(ROW(),COLUMN())),0,-3), IF(_xlpm.value="","",_xlpm.value))</f>
        <v/>
      </c>
      <c r="S28" t="str" cm="1">
        <f t="array" aca="1" ref="S28" ca="1">_xlfn.LET(_xlpm.value, OFFSET(INDIRECT(ADDRESS(ROW(),COLUMN())),0,-3), IF(_xlpm.value="","",_xlpm.value))</f>
        <v/>
      </c>
    </row>
    <row r="29" spans="7:19">
      <c r="G29">
        <f>IFERROR(VALUE(xxx_JarsPlusPlus_126[[#This Row],[Water Added (mL)]]), 0)</f>
        <v>0</v>
      </c>
      <c r="Q29" t="str" cm="1">
        <f t="array" aca="1" ref="Q29" ca="1">_xlfn.LET(_xlpm.value, OFFSET(INDIRECT(ADDRESS(ROW(),COLUMN())),0,-3), IF(_xlpm.value="","",_xlpm.value))</f>
        <v/>
      </c>
      <c r="R29" t="str" cm="1">
        <f t="array" aca="1" ref="R29" ca="1">_xlfn.LET(_xlpm.value, OFFSET(INDIRECT(ADDRESS(ROW(),COLUMN())),0,-3), IF(_xlpm.value="","",_xlpm.value))</f>
        <v/>
      </c>
      <c r="S29" t="str" cm="1">
        <f t="array" aca="1" ref="S29" ca="1">_xlfn.LET(_xlpm.value, OFFSET(INDIRECT(ADDRESS(ROW(),COLUMN())),0,-3), IF(_xlpm.value="","",_xlpm.value))</f>
        <v/>
      </c>
    </row>
    <row r="30" spans="7:19">
      <c r="G30">
        <f>IFERROR(VALUE(xxx_JarsPlusPlus_126[[#This Row],[Water Added (mL)]]), 0)</f>
        <v>0</v>
      </c>
      <c r="Q30" t="str" cm="1">
        <f t="array" aca="1" ref="Q30" ca="1">_xlfn.LET(_xlpm.value, OFFSET(INDIRECT(ADDRESS(ROW(),COLUMN())),0,-3), IF(_xlpm.value="","",_xlpm.value))</f>
        <v/>
      </c>
      <c r="R30" t="str" cm="1">
        <f t="array" aca="1" ref="R30" ca="1">_xlfn.LET(_xlpm.value, OFFSET(INDIRECT(ADDRESS(ROW(),COLUMN())),0,-3), IF(_xlpm.value="","",_xlpm.value))</f>
        <v/>
      </c>
      <c r="S30" t="str" cm="1">
        <f t="array" aca="1" ref="S30" ca="1">_xlfn.LET(_xlpm.value, OFFSET(INDIRECT(ADDRESS(ROW(),COLUMN())),0,-3), IF(_xlpm.value="","",_xlpm.value))</f>
        <v/>
      </c>
    </row>
    <row r="31" spans="7:19">
      <c r="G31">
        <f>IFERROR(VALUE(xxx_JarsPlusPlus_126[[#This Row],[Water Added (mL)]]), 0)</f>
        <v>0</v>
      </c>
      <c r="Q31" t="str" cm="1">
        <f t="array" aca="1" ref="Q31" ca="1">_xlfn.LET(_xlpm.value, OFFSET(INDIRECT(ADDRESS(ROW(),COLUMN())),0,-3), IF(_xlpm.value="","",_xlpm.value))</f>
        <v/>
      </c>
      <c r="R31" t="str" cm="1">
        <f t="array" aca="1" ref="R31" ca="1">_xlfn.LET(_xlpm.value, OFFSET(INDIRECT(ADDRESS(ROW(),COLUMN())),0,-3), IF(_xlpm.value="","",_xlpm.value))</f>
        <v/>
      </c>
      <c r="S31" t="str" cm="1">
        <f t="array" aca="1" ref="S31" ca="1">_xlfn.LET(_xlpm.value, OFFSET(INDIRECT(ADDRESS(ROW(),COLUMN())),0,-3), IF(_xlpm.value="","",_xlpm.value))</f>
        <v/>
      </c>
    </row>
    <row r="32" spans="7:19">
      <c r="G32">
        <f>IFERROR(VALUE(xxx_JarsPlusPlus_126[[#This Row],[Water Added (mL)]]), 0)</f>
        <v>0</v>
      </c>
      <c r="Q32" t="str" cm="1">
        <f t="array" aca="1" ref="Q32" ca="1">_xlfn.LET(_xlpm.value, OFFSET(INDIRECT(ADDRESS(ROW(),COLUMN())),0,-3), IF(_xlpm.value="","",_xlpm.value))</f>
        <v/>
      </c>
      <c r="R32" t="str" cm="1">
        <f t="array" aca="1" ref="R32" ca="1">_xlfn.LET(_xlpm.value, OFFSET(INDIRECT(ADDRESS(ROW(),COLUMN())),0,-3), IF(_xlpm.value="","",_xlpm.value))</f>
        <v/>
      </c>
      <c r="S32" t="str" cm="1">
        <f t="array" aca="1" ref="S32" ca="1">_xlfn.LET(_xlpm.value, OFFSET(INDIRECT(ADDRESS(ROW(),COLUMN())),0,-3), IF(_xlpm.value="","",_xlpm.value))</f>
        <v/>
      </c>
    </row>
    <row r="33" spans="7:19">
      <c r="G33">
        <f>IFERROR(VALUE(xxx_JarsPlusPlus_126[[#This Row],[Water Added (mL)]]), 0)</f>
        <v>0</v>
      </c>
      <c r="Q33" t="str" cm="1">
        <f t="array" aca="1" ref="Q33" ca="1">_xlfn.LET(_xlpm.value, OFFSET(INDIRECT(ADDRESS(ROW(),COLUMN())),0,-3), IF(_xlpm.value="","",_xlpm.value))</f>
        <v/>
      </c>
      <c r="R33" t="str" cm="1">
        <f t="array" aca="1" ref="R33" ca="1">_xlfn.LET(_xlpm.value, OFFSET(INDIRECT(ADDRESS(ROW(),COLUMN())),0,-3), IF(_xlpm.value="","",_xlpm.value))</f>
        <v/>
      </c>
      <c r="S33" t="str" cm="1">
        <f t="array" aca="1" ref="S33" ca="1">_xlfn.LET(_xlpm.value, OFFSET(INDIRECT(ADDRESS(ROW(),COLUMN())),0,-3), IF(_xlpm.value="","",_xlpm.value))</f>
        <v/>
      </c>
    </row>
    <row r="34" spans="7:19">
      <c r="G34">
        <f>IFERROR(VALUE(xxx_JarsPlusPlus_126[[#This Row],[Water Added (mL)]]), 0)</f>
        <v>0</v>
      </c>
      <c r="Q34" t="str" cm="1">
        <f t="array" aca="1" ref="Q34" ca="1">_xlfn.LET(_xlpm.value, OFFSET(INDIRECT(ADDRESS(ROW(),COLUMN())),0,-3), IF(_xlpm.value="","",_xlpm.value))</f>
        <v/>
      </c>
      <c r="R34" t="str" cm="1">
        <f t="array" aca="1" ref="R34" ca="1">_xlfn.LET(_xlpm.value, OFFSET(INDIRECT(ADDRESS(ROW(),COLUMN())),0,-3), IF(_xlpm.value="","",_xlpm.value))</f>
        <v/>
      </c>
      <c r="S34" t="str" cm="1">
        <f t="array" aca="1" ref="S34" ca="1">_xlfn.LET(_xlpm.value, OFFSET(INDIRECT(ADDRESS(ROW(),COLUMN())),0,-3), IF(_xlpm.value="","",_xlpm.value))</f>
        <v/>
      </c>
    </row>
    <row r="35" spans="7:19">
      <c r="G35">
        <f>IFERROR(VALUE(xxx_JarsPlusPlus_126[[#This Row],[Water Added (mL)]]), 0)</f>
        <v>0</v>
      </c>
    </row>
  </sheetData>
  <conditionalFormatting sqref="A11:AF999999">
    <cfRule type="expression" dxfId="87" priority="1">
      <formula>AND(A11="", $A11&lt;&gt;"", A$10&lt;&gt;"")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3F4B-847E-4126-9A7E-B001B6DEA184}">
  <dimension ref="A9:S35"/>
  <sheetViews>
    <sheetView topLeftCell="H7" workbookViewId="0">
      <selection activeCell="V21" sqref="V21"/>
    </sheetView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21" customWidth="1"/>
    <col min="9" max="9" width="28.85546875" customWidth="1"/>
    <col min="10" max="10" width="28.85546875" hidden="1" customWidth="1"/>
    <col min="11" max="12" width="20.5703125" customWidth="1"/>
    <col min="15" max="16" width="0" hidden="1" customWidth="1"/>
    <col min="17" max="17" width="11.42578125" bestFit="1" customWidth="1"/>
    <col min="18" max="18" width="25" customWidth="1"/>
    <col min="19" max="19" width="25.5703125" customWidth="1"/>
  </cols>
  <sheetData>
    <row r="9" spans="1:19">
      <c r="F9" t="s">
        <v>659</v>
      </c>
      <c r="G9" t="s">
        <v>659</v>
      </c>
      <c r="H9" t="s">
        <v>659</v>
      </c>
      <c r="I9" t="s">
        <v>659</v>
      </c>
      <c r="J9" t="s">
        <v>659</v>
      </c>
      <c r="R9" t="s">
        <v>659</v>
      </c>
      <c r="S9" t="s">
        <v>659</v>
      </c>
    </row>
    <row r="10" spans="1:19">
      <c r="A10" t="s">
        <v>33</v>
      </c>
      <c r="B10" t="s">
        <v>660</v>
      </c>
      <c r="C10" t="s">
        <v>344</v>
      </c>
      <c r="D10" t="s">
        <v>661</v>
      </c>
      <c r="E10" t="s">
        <v>337</v>
      </c>
      <c r="F10" t="s">
        <v>188</v>
      </c>
      <c r="G10" t="s">
        <v>662</v>
      </c>
      <c r="H10" t="s">
        <v>341</v>
      </c>
      <c r="I10" t="s">
        <v>342</v>
      </c>
      <c r="J10" t="s">
        <v>663</v>
      </c>
      <c r="K10" t="s">
        <v>352</v>
      </c>
      <c r="L10" t="s">
        <v>534</v>
      </c>
      <c r="Q10" t="s">
        <v>33</v>
      </c>
      <c r="R10" t="s">
        <v>664</v>
      </c>
      <c r="S10" t="s">
        <v>536</v>
      </c>
    </row>
    <row r="11" spans="1:19">
      <c r="A11" t="s">
        <v>455</v>
      </c>
      <c r="B11" t="s">
        <v>488</v>
      </c>
      <c r="C11" t="s">
        <v>185</v>
      </c>
      <c r="D11" t="s">
        <v>362</v>
      </c>
      <c r="E11" t="s">
        <v>366</v>
      </c>
      <c r="F11" t="s">
        <v>44</v>
      </c>
      <c r="G11">
        <f>IFERROR(VALUE(JarsPlusPlus_1[[#This Row],[Water Added (mL)]]), 0)</f>
        <v>0</v>
      </c>
      <c r="H11" t="s">
        <v>665</v>
      </c>
      <c r="I11" t="s">
        <v>666</v>
      </c>
      <c r="J11">
        <f>IFERROR(VALUE(JarsPlusPlus_1[[#This Row],[Fertilizer Added (g)]]), 0)</f>
        <v>1.05</v>
      </c>
      <c r="K11" t="s">
        <v>184</v>
      </c>
      <c r="L11" t="s">
        <v>362</v>
      </c>
      <c r="N11" t="str" cm="1">
        <f t="array" ref="N11:P15">_xlfn.LET(
    _xlpm.data,
    _xlfn.GROUPBY(
        JarsPlusPlus_1[Jar],
        _xlfn.HSTACK(JarsPlusPlus_1[V:Water Added (mL)],
            JarsPlusPlus_1[V:Fertilizer Added (g)]
        ),
        _xleta.SUM,,
        0,,
        JarsPlusPlus_1[Jar]&lt;&gt;""
    ),
    _xlfn.SORTBY(_xlpm.data, VALUE(_xlfn.CHOOSECOLS(_xlpm.data, 1)), 1)
)</f>
        <v>19</v>
      </c>
      <c r="O11">
        <v>0</v>
      </c>
      <c r="P11">
        <v>1.05</v>
      </c>
      <c r="Q11" t="str" cm="1">
        <f t="array" aca="1" ref="Q11" ca="1">_xlfn.LET(_xlpm.value, OFFSET(INDIRECT(ADDRESS(ROW(),COLUMN())),0,-3), IF(_xlpm.value="","",_xlpm.value))</f>
        <v>19</v>
      </c>
      <c r="R11" cm="1">
        <f t="array" aca="1" ref="R11" ca="1">_xlfn.LET(_xlpm.value, OFFSET(INDIRECT(ADDRESS(ROW(),COLUMN())),0,-3), IF(_xlpm.value="","",_xlpm.value))</f>
        <v>0</v>
      </c>
      <c r="S11" cm="1">
        <f t="array" aca="1" ref="S11" ca="1">_xlfn.LET(_xlpm.value, OFFSET(INDIRECT(ADDRESS(ROW(),COLUMN())),0,-3), IF(_xlpm.value="","",_xlpm.value))</f>
        <v>1.05</v>
      </c>
    </row>
    <row r="12" spans="1:19">
      <c r="A12" t="s">
        <v>464</v>
      </c>
      <c r="B12" t="s">
        <v>488</v>
      </c>
      <c r="C12" t="s">
        <v>531</v>
      </c>
      <c r="D12" t="s">
        <v>362</v>
      </c>
      <c r="E12" t="s">
        <v>366</v>
      </c>
      <c r="F12" t="s">
        <v>44</v>
      </c>
      <c r="G12">
        <f>IFERROR(VALUE(JarsPlusPlus_1[[#This Row],[Water Added (mL)]]), 0)</f>
        <v>0</v>
      </c>
      <c r="H12" t="s">
        <v>626</v>
      </c>
      <c r="I12" t="s">
        <v>667</v>
      </c>
      <c r="J12">
        <f>IFERROR(VALUE(JarsPlusPlus_1[[#This Row],[Fertilizer Added (g)]]), 0)</f>
        <v>1.52</v>
      </c>
      <c r="K12" t="s">
        <v>185</v>
      </c>
      <c r="L12" t="s">
        <v>362</v>
      </c>
      <c r="N12" t="str">
        <v>21</v>
      </c>
      <c r="O12">
        <v>0</v>
      </c>
      <c r="P12">
        <v>1.52</v>
      </c>
      <c r="Q12" t="str" cm="1">
        <f t="array" aca="1" ref="Q12" ca="1">_xlfn.LET(_xlpm.value, OFFSET(INDIRECT(ADDRESS(ROW(),COLUMN())),0,-3), IF(_xlpm.value="","",_xlpm.value))</f>
        <v>21</v>
      </c>
      <c r="R12" cm="1">
        <f t="array" aca="1" ref="R12" ca="1">_xlfn.LET(_xlpm.value, OFFSET(INDIRECT(ADDRESS(ROW(),COLUMN())),0,-3), IF(_xlpm.value="","",_xlpm.value))</f>
        <v>0</v>
      </c>
      <c r="S12" cm="1">
        <f t="array" aca="1" ref="S12" ca="1">_xlfn.LET(_xlpm.value, OFFSET(INDIRECT(ADDRESS(ROW(),COLUMN())),0,-3), IF(_xlpm.value="","",_xlpm.value))</f>
        <v>1.52</v>
      </c>
    </row>
    <row r="13" spans="1:19">
      <c r="A13" t="s">
        <v>486</v>
      </c>
      <c r="B13" t="s">
        <v>488</v>
      </c>
      <c r="C13" t="s">
        <v>362</v>
      </c>
      <c r="D13" t="s">
        <v>362</v>
      </c>
      <c r="E13" t="s">
        <v>366</v>
      </c>
      <c r="F13" t="s">
        <v>44</v>
      </c>
      <c r="G13">
        <f>IFERROR(VALUE(JarsPlusPlus_1[[#This Row],[Water Added (mL)]]), 0)</f>
        <v>0</v>
      </c>
      <c r="H13" t="s">
        <v>57</v>
      </c>
      <c r="I13" t="s">
        <v>426</v>
      </c>
      <c r="J13">
        <f>IFERROR(VALUE(JarsPlusPlus_1[[#This Row],[Fertilizer Added (g)]]), 0)</f>
        <v>1.8</v>
      </c>
      <c r="K13" t="s">
        <v>184</v>
      </c>
      <c r="L13" t="s">
        <v>362</v>
      </c>
      <c r="N13" t="str">
        <v>27</v>
      </c>
      <c r="O13">
        <v>0</v>
      </c>
      <c r="P13">
        <v>1.8</v>
      </c>
      <c r="Q13" t="str" cm="1">
        <f t="array" aca="1" ref="Q13" ca="1">_xlfn.LET(_xlpm.value, OFFSET(INDIRECT(ADDRESS(ROW(),COLUMN())),0,-3), IF(_xlpm.value="","",_xlpm.value))</f>
        <v>27</v>
      </c>
      <c r="R13" cm="1">
        <f t="array" aca="1" ref="R13" ca="1">_xlfn.LET(_xlpm.value, OFFSET(INDIRECT(ADDRESS(ROW(),COLUMN())),0,-3), IF(_xlpm.value="","",_xlpm.value))</f>
        <v>0</v>
      </c>
      <c r="S13" cm="1">
        <f t="array" aca="1" ref="S13" ca="1">_xlfn.LET(_xlpm.value, OFFSET(INDIRECT(ADDRESS(ROW(),COLUMN())),0,-3), IF(_xlpm.value="","",_xlpm.value))</f>
        <v>1.8</v>
      </c>
    </row>
    <row r="14" spans="1:19">
      <c r="A14" t="s">
        <v>489</v>
      </c>
      <c r="B14" t="s">
        <v>488</v>
      </c>
      <c r="C14" t="s">
        <v>185</v>
      </c>
      <c r="D14" t="s">
        <v>362</v>
      </c>
      <c r="E14" t="s">
        <v>366</v>
      </c>
      <c r="F14" t="s">
        <v>44</v>
      </c>
      <c r="G14">
        <f>IFERROR(VALUE(JarsPlusPlus_1[[#This Row],[Water Added (mL)]]), 0)</f>
        <v>0</v>
      </c>
      <c r="H14" t="s">
        <v>58</v>
      </c>
      <c r="I14" t="s">
        <v>668</v>
      </c>
      <c r="J14">
        <f>IFERROR(VALUE(JarsPlusPlus_1[[#This Row],[Fertilizer Added (g)]]), 0)</f>
        <v>0.69399999999999995</v>
      </c>
      <c r="K14" t="s">
        <v>184</v>
      </c>
      <c r="L14" t="s">
        <v>362</v>
      </c>
      <c r="N14" t="str">
        <v>28</v>
      </c>
      <c r="O14">
        <v>0</v>
      </c>
      <c r="P14">
        <v>0.69399999999999995</v>
      </c>
      <c r="Q14" t="str" cm="1">
        <f t="array" aca="1" ref="Q14" ca="1">_xlfn.LET(_xlpm.value, OFFSET(INDIRECT(ADDRESS(ROW(),COLUMN())),0,-3), IF(_xlpm.value="","",_xlpm.value))</f>
        <v>28</v>
      </c>
      <c r="R14" cm="1">
        <f t="array" aca="1" ref="R14" ca="1">_xlfn.LET(_xlpm.value, OFFSET(INDIRECT(ADDRESS(ROW(),COLUMN())),0,-3), IF(_xlpm.value="","",_xlpm.value))</f>
        <v>0</v>
      </c>
      <c r="S14" cm="1">
        <f t="array" aca="1" ref="S14" ca="1">_xlfn.LET(_xlpm.value, OFFSET(INDIRECT(ADDRESS(ROW(),COLUMN())),0,-3), IF(_xlpm.value="","",_xlpm.value))</f>
        <v>0.69399999999999995</v>
      </c>
    </row>
    <row r="15" spans="1:19">
      <c r="A15" t="s">
        <v>494</v>
      </c>
      <c r="B15" t="s">
        <v>488</v>
      </c>
      <c r="C15" t="s">
        <v>185</v>
      </c>
      <c r="D15" t="s">
        <v>362</v>
      </c>
      <c r="E15" t="s">
        <v>366</v>
      </c>
      <c r="F15" t="s">
        <v>44</v>
      </c>
      <c r="G15">
        <f>IFERROR(VALUE(JarsPlusPlus_1[[#This Row],[Water Added (mL)]]), 0)</f>
        <v>0</v>
      </c>
      <c r="H15" t="s">
        <v>665</v>
      </c>
      <c r="I15" t="s">
        <v>669</v>
      </c>
      <c r="J15">
        <f>IFERROR(VALUE(JarsPlusPlus_1[[#This Row],[Fertilizer Added (g)]]), 0)</f>
        <v>0.89200000000000002</v>
      </c>
      <c r="K15" t="s">
        <v>185</v>
      </c>
      <c r="L15" t="s">
        <v>362</v>
      </c>
      <c r="N15" t="str">
        <v>29</v>
      </c>
      <c r="O15">
        <v>0</v>
      </c>
      <c r="P15">
        <v>0.89200000000000002</v>
      </c>
      <c r="Q15" t="str" cm="1">
        <f t="array" aca="1" ref="Q15" ca="1">_xlfn.LET(_xlpm.value, OFFSET(INDIRECT(ADDRESS(ROW(),COLUMN())),0,-3), IF(_xlpm.value="","",_xlpm.value))</f>
        <v>29</v>
      </c>
      <c r="R15" cm="1">
        <f t="array" aca="1" ref="R15" ca="1">_xlfn.LET(_xlpm.value, OFFSET(INDIRECT(ADDRESS(ROW(),COLUMN())),0,-3), IF(_xlpm.value="","",_xlpm.value))</f>
        <v>0</v>
      </c>
      <c r="S15" cm="1">
        <f t="array" aca="1" ref="S15" ca="1">_xlfn.LET(_xlpm.value, OFFSET(INDIRECT(ADDRESS(ROW(),COLUMN())),0,-3), IF(_xlpm.value="","",_xlpm.value))</f>
        <v>0.89200000000000002</v>
      </c>
    </row>
    <row r="16" spans="1:19">
      <c r="Q16" t="str" cm="1">
        <f t="array" aca="1" ref="Q16" ca="1">_xlfn.LET(_xlpm.value, OFFSET(INDIRECT(ADDRESS(ROW(),COLUMN())),0,-3), IF(_xlpm.value="","",_xlpm.value))</f>
        <v/>
      </c>
      <c r="R16" t="str" cm="1">
        <f t="array" aca="1" ref="R16" ca="1">_xlfn.LET(_xlpm.value, OFFSET(INDIRECT(ADDRESS(ROW(),COLUMN())),0,-3), IF(_xlpm.value="","",_xlpm.value))</f>
        <v/>
      </c>
      <c r="S16" t="str" cm="1">
        <f t="array" aca="1" ref="S16" ca="1">_xlfn.LET(_xlpm.value, OFFSET(INDIRECT(ADDRESS(ROW(),COLUMN())),0,-3), IF(_xlpm.value="","",_xlpm.value))</f>
        <v/>
      </c>
    </row>
    <row r="17" spans="7:19">
      <c r="G17">
        <f>IFERROR(VALUE(JarsPlusPlus_1[[#This Row],[Water Added (mL)]]), 0)</f>
        <v>0</v>
      </c>
      <c r="Q17" t="str" cm="1">
        <f t="array" aca="1" ref="Q17" ca="1">_xlfn.LET(_xlpm.value, OFFSET(INDIRECT(ADDRESS(ROW(),COLUMN())),0,-3), IF(_xlpm.value="","",_xlpm.value))</f>
        <v/>
      </c>
      <c r="R17" t="str" cm="1">
        <f t="array" aca="1" ref="R17" ca="1">_xlfn.LET(_xlpm.value, OFFSET(INDIRECT(ADDRESS(ROW(),COLUMN())),0,-3), IF(_xlpm.value="","",_xlpm.value))</f>
        <v/>
      </c>
      <c r="S17" t="str" cm="1">
        <f t="array" aca="1" ref="S17" ca="1">_xlfn.LET(_xlpm.value, OFFSET(INDIRECT(ADDRESS(ROW(),COLUMN())),0,-3), IF(_xlpm.value="","",_xlpm.value))</f>
        <v/>
      </c>
    </row>
    <row r="18" spans="7:19">
      <c r="G18">
        <f>IFERROR(VALUE(JarsPlusPlus_1[[#This Row],[Water Added (mL)]]), 0)</f>
        <v>0</v>
      </c>
      <c r="Q18" t="str" cm="1">
        <f t="array" aca="1" ref="Q18" ca="1">_xlfn.LET(_xlpm.value, OFFSET(INDIRECT(ADDRESS(ROW(),COLUMN())),0,-3), IF(_xlpm.value="","",_xlpm.value))</f>
        <v/>
      </c>
      <c r="R18" t="str" cm="1">
        <f t="array" aca="1" ref="R18" ca="1">_xlfn.LET(_xlpm.value, OFFSET(INDIRECT(ADDRESS(ROW(),COLUMN())),0,-3), IF(_xlpm.value="","",_xlpm.value))</f>
        <v/>
      </c>
      <c r="S18" t="str" cm="1">
        <f t="array" aca="1" ref="S18" ca="1">_xlfn.LET(_xlpm.value, OFFSET(INDIRECT(ADDRESS(ROW(),COLUMN())),0,-3), IF(_xlpm.value="","",_xlpm.value))</f>
        <v/>
      </c>
    </row>
    <row r="19" spans="7:19">
      <c r="G19">
        <f>IFERROR(VALUE(JarsPlusPlus_1[[#This Row],[Water Added (mL)]]), 0)</f>
        <v>0</v>
      </c>
      <c r="Q19" t="str" cm="1">
        <f t="array" aca="1" ref="Q19" ca="1">_xlfn.LET(_xlpm.value, OFFSET(INDIRECT(ADDRESS(ROW(),COLUMN())),0,-3), IF(_xlpm.value="","",_xlpm.value))</f>
        <v/>
      </c>
      <c r="R19" t="str" cm="1">
        <f t="array" aca="1" ref="R19" ca="1">_xlfn.LET(_xlpm.value, OFFSET(INDIRECT(ADDRESS(ROW(),COLUMN())),0,-3), IF(_xlpm.value="","",_xlpm.value))</f>
        <v/>
      </c>
      <c r="S19" t="str" cm="1">
        <f t="array" aca="1" ref="S19" ca="1">_xlfn.LET(_xlpm.value, OFFSET(INDIRECT(ADDRESS(ROW(),COLUMN())),0,-3), IF(_xlpm.value="","",_xlpm.value))</f>
        <v/>
      </c>
    </row>
    <row r="20" spans="7:19">
      <c r="G20">
        <f>IFERROR(VALUE(JarsPlusPlus_1[[#This Row],[Water Added (mL)]]), 0)</f>
        <v>0</v>
      </c>
      <c r="Q20" t="str" cm="1">
        <f t="array" aca="1" ref="Q20" ca="1">_xlfn.LET(_xlpm.value, OFFSET(INDIRECT(ADDRESS(ROW(),COLUMN())),0,-3), IF(_xlpm.value="","",_xlpm.value))</f>
        <v/>
      </c>
      <c r="R20" t="str" cm="1">
        <f t="array" aca="1" ref="R20" ca="1">_xlfn.LET(_xlpm.value, OFFSET(INDIRECT(ADDRESS(ROW(),COLUMN())),0,-3), IF(_xlpm.value="","",_xlpm.value))</f>
        <v/>
      </c>
      <c r="S20" t="str" cm="1">
        <f t="array" aca="1" ref="S20" ca="1">_xlfn.LET(_xlpm.value, OFFSET(INDIRECT(ADDRESS(ROW(),COLUMN())),0,-3), IF(_xlpm.value="","",_xlpm.value))</f>
        <v/>
      </c>
    </row>
    <row r="21" spans="7:19">
      <c r="G21">
        <f>IFERROR(VALUE(JarsPlusPlus_1[[#This Row],[Water Added (mL)]]), 0)</f>
        <v>0</v>
      </c>
      <c r="Q21" t="str" cm="1">
        <f t="array" aca="1" ref="Q21" ca="1">_xlfn.LET(_xlpm.value, OFFSET(INDIRECT(ADDRESS(ROW(),COLUMN())),0,-3), IF(_xlpm.value="","",_xlpm.value))</f>
        <v/>
      </c>
      <c r="R21" t="str" cm="1">
        <f t="array" aca="1" ref="R21" ca="1">_xlfn.LET(_xlpm.value, OFFSET(INDIRECT(ADDRESS(ROW(),COLUMN())),0,-3), IF(_xlpm.value="","",_xlpm.value))</f>
        <v/>
      </c>
      <c r="S21" t="str" cm="1">
        <f t="array" aca="1" ref="S21" ca="1">_xlfn.LET(_xlpm.value, OFFSET(INDIRECT(ADDRESS(ROW(),COLUMN())),0,-3), IF(_xlpm.value="","",_xlpm.value))</f>
        <v/>
      </c>
    </row>
    <row r="22" spans="7:19">
      <c r="G22">
        <f>IFERROR(VALUE(JarsPlusPlus_1[[#This Row],[Water Added (mL)]]), 0)</f>
        <v>0</v>
      </c>
      <c r="Q22" t="str" cm="1">
        <f t="array" aca="1" ref="Q22" ca="1">_xlfn.LET(_xlpm.value, OFFSET(INDIRECT(ADDRESS(ROW(),COLUMN())),0,-3), IF(_xlpm.value="","",_xlpm.value))</f>
        <v/>
      </c>
      <c r="R22" t="str" cm="1">
        <f t="array" aca="1" ref="R22" ca="1">_xlfn.LET(_xlpm.value, OFFSET(INDIRECT(ADDRESS(ROW(),COLUMN())),0,-3), IF(_xlpm.value="","",_xlpm.value))</f>
        <v/>
      </c>
      <c r="S22" t="str" cm="1">
        <f t="array" aca="1" ref="S22" ca="1">_xlfn.LET(_xlpm.value, OFFSET(INDIRECT(ADDRESS(ROW(),COLUMN())),0,-3), IF(_xlpm.value="","",_xlpm.value))</f>
        <v/>
      </c>
    </row>
    <row r="23" spans="7:19">
      <c r="G23">
        <f>IFERROR(VALUE(JarsPlusPlus_1[[#This Row],[Water Added (mL)]]), 0)</f>
        <v>0</v>
      </c>
      <c r="Q23" t="str" cm="1">
        <f t="array" aca="1" ref="Q23" ca="1">_xlfn.LET(_xlpm.value, OFFSET(INDIRECT(ADDRESS(ROW(),COLUMN())),0,-3), IF(_xlpm.value="","",_xlpm.value))</f>
        <v/>
      </c>
      <c r="R23" t="str" cm="1">
        <f t="array" aca="1" ref="R23" ca="1">_xlfn.LET(_xlpm.value, OFFSET(INDIRECT(ADDRESS(ROW(),COLUMN())),0,-3), IF(_xlpm.value="","",_xlpm.value))</f>
        <v/>
      </c>
      <c r="S23" t="str" cm="1">
        <f t="array" aca="1" ref="S23" ca="1">_xlfn.LET(_xlpm.value, OFFSET(INDIRECT(ADDRESS(ROW(),COLUMN())),0,-3), IF(_xlpm.value="","",_xlpm.value))</f>
        <v/>
      </c>
    </row>
    <row r="24" spans="7:19">
      <c r="G24">
        <f>IFERROR(VALUE(JarsPlusPlus_1[[#This Row],[Water Added (mL)]]), 0)</f>
        <v>0</v>
      </c>
      <c r="Q24" t="str" cm="1">
        <f t="array" aca="1" ref="Q24" ca="1">_xlfn.LET(_xlpm.value, OFFSET(INDIRECT(ADDRESS(ROW(),COLUMN())),0,-3), IF(_xlpm.value="","",_xlpm.value))</f>
        <v/>
      </c>
      <c r="R24" t="str" cm="1">
        <f t="array" aca="1" ref="R24" ca="1">_xlfn.LET(_xlpm.value, OFFSET(INDIRECT(ADDRESS(ROW(),COLUMN())),0,-3), IF(_xlpm.value="","",_xlpm.value))</f>
        <v/>
      </c>
      <c r="S24" t="str" cm="1">
        <f t="array" aca="1" ref="S24" ca="1">_xlfn.LET(_xlpm.value, OFFSET(INDIRECT(ADDRESS(ROW(),COLUMN())),0,-3), IF(_xlpm.value="","",_xlpm.value))</f>
        <v/>
      </c>
    </row>
    <row r="25" spans="7:19">
      <c r="G25">
        <f>IFERROR(VALUE(JarsPlusPlus_1[[#This Row],[Water Added (mL)]]), 0)</f>
        <v>0</v>
      </c>
      <c r="J25">
        <f>IFERROR(VALUE(JarsPlusPlus_1[[#This Row],[Fertilizer Added (g)]]), 0)</f>
        <v>0</v>
      </c>
      <c r="Q25" t="str" cm="1">
        <f t="array" aca="1" ref="Q25" ca="1">_xlfn.LET(_xlpm.value, OFFSET(INDIRECT(ADDRESS(ROW(),COLUMN())),0,-3), IF(_xlpm.value="","",_xlpm.value))</f>
        <v/>
      </c>
      <c r="R25" t="str" cm="1">
        <f t="array" aca="1" ref="R25" ca="1">_xlfn.LET(_xlpm.value, OFFSET(INDIRECT(ADDRESS(ROW(),COLUMN())),0,-3), IF(_xlpm.value="","",_xlpm.value))</f>
        <v/>
      </c>
      <c r="S25" t="str" cm="1">
        <f t="array" aca="1" ref="S25" ca="1">_xlfn.LET(_xlpm.value, OFFSET(INDIRECT(ADDRESS(ROW(),COLUMN())),0,-3), IF(_xlpm.value="","",_xlpm.value))</f>
        <v/>
      </c>
    </row>
    <row r="26" spans="7:19">
      <c r="G26">
        <f>IFERROR(VALUE(JarsPlusPlus_1[[#This Row],[Water Added (mL)]]), 0)</f>
        <v>0</v>
      </c>
      <c r="J26">
        <f>IFERROR(VALUE(JarsPlusPlus_1[[#This Row],[Fertilizer Added (g)]]), 0)</f>
        <v>0</v>
      </c>
      <c r="Q26" t="str" cm="1">
        <f t="array" aca="1" ref="Q26" ca="1">_xlfn.LET(_xlpm.value, OFFSET(INDIRECT(ADDRESS(ROW(),COLUMN())),0,-3), IF(_xlpm.value="","",_xlpm.value))</f>
        <v/>
      </c>
      <c r="R26" t="str" cm="1">
        <f t="array" aca="1" ref="R26" ca="1">_xlfn.LET(_xlpm.value, OFFSET(INDIRECT(ADDRESS(ROW(),COLUMN())),0,-3), IF(_xlpm.value="","",_xlpm.value))</f>
        <v/>
      </c>
      <c r="S26" t="str" cm="1">
        <f t="array" aca="1" ref="S26" ca="1">_xlfn.LET(_xlpm.value, OFFSET(INDIRECT(ADDRESS(ROW(),COLUMN())),0,-3), IF(_xlpm.value="","",_xlpm.value))</f>
        <v/>
      </c>
    </row>
    <row r="27" spans="7:19">
      <c r="G27">
        <f>IFERROR(VALUE(JarsPlusPlus_1[[#This Row],[Water Added (mL)]]), 0)</f>
        <v>0</v>
      </c>
      <c r="J27">
        <f>IFERROR(VALUE(JarsPlusPlus_1[[#This Row],[Fertilizer Added (g)]]), 0)</f>
        <v>0</v>
      </c>
      <c r="Q27" t="str" cm="1">
        <f t="array" aca="1" ref="Q27" ca="1">_xlfn.LET(_xlpm.value, OFFSET(INDIRECT(ADDRESS(ROW(),COLUMN())),0,-3), IF(_xlpm.value="","",_xlpm.value))</f>
        <v/>
      </c>
      <c r="R27" t="str" cm="1">
        <f t="array" aca="1" ref="R27" ca="1">_xlfn.LET(_xlpm.value, OFFSET(INDIRECT(ADDRESS(ROW(),COLUMN())),0,-3), IF(_xlpm.value="","",_xlpm.value))</f>
        <v/>
      </c>
      <c r="S27" t="str" cm="1">
        <f t="array" aca="1" ref="S27" ca="1">_xlfn.LET(_xlpm.value, OFFSET(INDIRECT(ADDRESS(ROW(),COLUMN())),0,-3), IF(_xlpm.value="","",_xlpm.value))</f>
        <v/>
      </c>
    </row>
    <row r="28" spans="7:19">
      <c r="G28">
        <f>IFERROR(VALUE(JarsPlusPlus_1[[#This Row],[Water Added (mL)]]), 0)</f>
        <v>0</v>
      </c>
      <c r="Q28" t="str" cm="1">
        <f t="array" aca="1" ref="Q28" ca="1">_xlfn.LET(_xlpm.value, OFFSET(INDIRECT(ADDRESS(ROW(),COLUMN())),0,-3), IF(_xlpm.value="","",_xlpm.value))</f>
        <v/>
      </c>
      <c r="R28" t="str" cm="1">
        <f t="array" aca="1" ref="R28" ca="1">_xlfn.LET(_xlpm.value, OFFSET(INDIRECT(ADDRESS(ROW(),COLUMN())),0,-3), IF(_xlpm.value="","",_xlpm.value))</f>
        <v/>
      </c>
      <c r="S28" t="str" cm="1">
        <f t="array" aca="1" ref="S28" ca="1">_xlfn.LET(_xlpm.value, OFFSET(INDIRECT(ADDRESS(ROW(),COLUMN())),0,-3), IF(_xlpm.value="","",_xlpm.value))</f>
        <v/>
      </c>
    </row>
    <row r="29" spans="7:19">
      <c r="G29">
        <f>IFERROR(VALUE(JarsPlusPlus_1[[#This Row],[Water Added (mL)]]), 0)</f>
        <v>0</v>
      </c>
      <c r="Q29" t="str" cm="1">
        <f t="array" aca="1" ref="Q29" ca="1">_xlfn.LET(_xlpm.value, OFFSET(INDIRECT(ADDRESS(ROW(),COLUMN())),0,-3), IF(_xlpm.value="","",_xlpm.value))</f>
        <v/>
      </c>
      <c r="R29" t="str" cm="1">
        <f t="array" aca="1" ref="R29" ca="1">_xlfn.LET(_xlpm.value, OFFSET(INDIRECT(ADDRESS(ROW(),COLUMN())),0,-3), IF(_xlpm.value="","",_xlpm.value))</f>
        <v/>
      </c>
      <c r="S29" t="str" cm="1">
        <f t="array" aca="1" ref="S29" ca="1">_xlfn.LET(_xlpm.value, OFFSET(INDIRECT(ADDRESS(ROW(),COLUMN())),0,-3), IF(_xlpm.value="","",_xlpm.value))</f>
        <v/>
      </c>
    </row>
    <row r="30" spans="7:19">
      <c r="G30">
        <f>IFERROR(VALUE(JarsPlusPlus_1[[#This Row],[Water Added (mL)]]), 0)</f>
        <v>0</v>
      </c>
      <c r="Q30" t="str" cm="1">
        <f t="array" aca="1" ref="Q30" ca="1">_xlfn.LET(_xlpm.value, OFFSET(INDIRECT(ADDRESS(ROW(),COLUMN())),0,-3), IF(_xlpm.value="","",_xlpm.value))</f>
        <v/>
      </c>
      <c r="R30" t="str" cm="1">
        <f t="array" aca="1" ref="R30" ca="1">_xlfn.LET(_xlpm.value, OFFSET(INDIRECT(ADDRESS(ROW(),COLUMN())),0,-3), IF(_xlpm.value="","",_xlpm.value))</f>
        <v/>
      </c>
      <c r="S30" t="str" cm="1">
        <f t="array" aca="1" ref="S30" ca="1">_xlfn.LET(_xlpm.value, OFFSET(INDIRECT(ADDRESS(ROW(),COLUMN())),0,-3), IF(_xlpm.value="","",_xlpm.value))</f>
        <v/>
      </c>
    </row>
    <row r="31" spans="7:19">
      <c r="G31">
        <f>IFERROR(VALUE(JarsPlusPlus_1[[#This Row],[Water Added (mL)]]), 0)</f>
        <v>0</v>
      </c>
      <c r="Q31" t="str" cm="1">
        <f t="array" aca="1" ref="Q31" ca="1">_xlfn.LET(_xlpm.value, OFFSET(INDIRECT(ADDRESS(ROW(),COLUMN())),0,-3), IF(_xlpm.value="","",_xlpm.value))</f>
        <v/>
      </c>
      <c r="R31" t="str" cm="1">
        <f t="array" aca="1" ref="R31" ca="1">_xlfn.LET(_xlpm.value, OFFSET(INDIRECT(ADDRESS(ROW(),COLUMN())),0,-3), IF(_xlpm.value="","",_xlpm.value))</f>
        <v/>
      </c>
      <c r="S31" t="str" cm="1">
        <f t="array" aca="1" ref="S31" ca="1">_xlfn.LET(_xlpm.value, OFFSET(INDIRECT(ADDRESS(ROW(),COLUMN())),0,-3), IF(_xlpm.value="","",_xlpm.value))</f>
        <v/>
      </c>
    </row>
    <row r="32" spans="7:19">
      <c r="G32">
        <f>IFERROR(VALUE(JarsPlusPlus_1[[#This Row],[Water Added (mL)]]), 0)</f>
        <v>0</v>
      </c>
      <c r="Q32" t="str" cm="1">
        <f t="array" aca="1" ref="Q32" ca="1">_xlfn.LET(_xlpm.value, OFFSET(INDIRECT(ADDRESS(ROW(),COLUMN())),0,-3), IF(_xlpm.value="","",_xlpm.value))</f>
        <v/>
      </c>
      <c r="R32" t="str" cm="1">
        <f t="array" aca="1" ref="R32" ca="1">_xlfn.LET(_xlpm.value, OFFSET(INDIRECT(ADDRESS(ROW(),COLUMN())),0,-3), IF(_xlpm.value="","",_xlpm.value))</f>
        <v/>
      </c>
      <c r="S32" t="str" cm="1">
        <f t="array" aca="1" ref="S32" ca="1">_xlfn.LET(_xlpm.value, OFFSET(INDIRECT(ADDRESS(ROW(),COLUMN())),0,-3), IF(_xlpm.value="","",_xlpm.value))</f>
        <v/>
      </c>
    </row>
    <row r="33" spans="7:19">
      <c r="G33">
        <f>IFERROR(VALUE(JarsPlusPlus_1[[#This Row],[Water Added (mL)]]), 0)</f>
        <v>0</v>
      </c>
      <c r="Q33" t="str" cm="1">
        <f t="array" aca="1" ref="Q33" ca="1">_xlfn.LET(_xlpm.value, OFFSET(INDIRECT(ADDRESS(ROW(),COLUMN())),0,-3), IF(_xlpm.value="","",_xlpm.value))</f>
        <v/>
      </c>
      <c r="R33" t="str" cm="1">
        <f t="array" aca="1" ref="R33" ca="1">_xlfn.LET(_xlpm.value, OFFSET(INDIRECT(ADDRESS(ROW(),COLUMN())),0,-3), IF(_xlpm.value="","",_xlpm.value))</f>
        <v/>
      </c>
      <c r="S33" t="str" cm="1">
        <f t="array" aca="1" ref="S33" ca="1">_xlfn.LET(_xlpm.value, OFFSET(INDIRECT(ADDRESS(ROW(),COLUMN())),0,-3), IF(_xlpm.value="","",_xlpm.value))</f>
        <v/>
      </c>
    </row>
    <row r="34" spans="7:19">
      <c r="G34">
        <f>IFERROR(VALUE(JarsPlusPlus_1[[#This Row],[Water Added (mL)]]), 0)</f>
        <v>0</v>
      </c>
      <c r="Q34" t="str" cm="1">
        <f t="array" aca="1" ref="Q34" ca="1">_xlfn.LET(_xlpm.value, OFFSET(INDIRECT(ADDRESS(ROW(),COLUMN())),0,-3), IF(_xlpm.value="","",_xlpm.value))</f>
        <v/>
      </c>
      <c r="R34" t="str" cm="1">
        <f t="array" aca="1" ref="R34" ca="1">_xlfn.LET(_xlpm.value, OFFSET(INDIRECT(ADDRESS(ROW(),COLUMN())),0,-3), IF(_xlpm.value="","",_xlpm.value))</f>
        <v/>
      </c>
      <c r="S34" t="str" cm="1">
        <f t="array" aca="1" ref="S34" ca="1">_xlfn.LET(_xlpm.value, OFFSET(INDIRECT(ADDRESS(ROW(),COLUMN())),0,-3), IF(_xlpm.value="","",_xlpm.value))</f>
        <v/>
      </c>
    </row>
    <row r="35" spans="7:19">
      <c r="G35">
        <f>IFERROR(VALUE(JarsPlusPlus_1[[#This Row],[Water Added (mL)]]), 0)</f>
        <v>0</v>
      </c>
    </row>
  </sheetData>
  <conditionalFormatting sqref="A11:AF999999">
    <cfRule type="expression" dxfId="86" priority="1">
      <formula>AND(A11="", $A11&lt;&gt;"", A$10&lt;&gt;"")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0C63-0CD7-475D-A561-2CF7E9834DDA}">
  <dimension ref="A9:J44"/>
  <sheetViews>
    <sheetView workbookViewId="0">
      <pane xSplit="1" topLeftCell="B10" activePane="topRight" state="frozen"/>
      <selection pane="topRight" activeCell="G16" sqref="G16"/>
    </sheetView>
  </sheetViews>
  <sheetFormatPr defaultRowHeight="15"/>
  <cols>
    <col min="1" max="1" width="8" style="1" customWidth="1"/>
    <col min="2" max="2" width="14.28515625" style="1" customWidth="1"/>
    <col min="3" max="3" width="13.28515625" style="1" customWidth="1"/>
    <col min="4" max="4" width="17.28515625" style="1" customWidth="1"/>
    <col min="5" max="5" width="26" style="1" customWidth="1"/>
    <col min="6" max="6" width="20.7109375" style="1" customWidth="1"/>
    <col min="7" max="7" width="14.42578125" style="1" customWidth="1"/>
    <col min="8" max="8" width="10.28515625" style="1" customWidth="1"/>
    <col min="9" max="9" width="23.42578125" style="1" customWidth="1"/>
    <col min="10" max="10" width="85" style="1" customWidth="1"/>
    <col min="11" max="16384" width="9.140625" style="1"/>
  </cols>
  <sheetData>
    <row r="9" spans="1:10">
      <c r="B9" s="1" t="s">
        <v>182</v>
      </c>
    </row>
    <row r="10" spans="1:10">
      <c r="A10" s="4" t="s">
        <v>0</v>
      </c>
      <c r="B10" s="4" t="s">
        <v>336</v>
      </c>
      <c r="C10" s="1" t="s">
        <v>562</v>
      </c>
      <c r="D10" s="1" t="s">
        <v>670</v>
      </c>
      <c r="E10" s="1" t="s">
        <v>563</v>
      </c>
      <c r="F10" s="1" t="s">
        <v>671</v>
      </c>
      <c r="G10" s="1" t="s">
        <v>561</v>
      </c>
      <c r="H10" s="1" t="s">
        <v>278</v>
      </c>
      <c r="I10" s="1" t="s">
        <v>672</v>
      </c>
      <c r="J10" s="1" t="s">
        <v>356</v>
      </c>
    </row>
    <row r="11" spans="1:10">
      <c r="A11" s="6" t="s">
        <v>6</v>
      </c>
      <c r="B11" s="1" t="s">
        <v>362</v>
      </c>
      <c r="C11" s="6" t="s">
        <v>14</v>
      </c>
      <c r="D11" s="19" t="s">
        <v>44</v>
      </c>
      <c r="E11" s="1" t="s">
        <v>589</v>
      </c>
      <c r="F11" s="19" t="s">
        <v>44</v>
      </c>
      <c r="G11" s="1" t="s">
        <v>362</v>
      </c>
      <c r="H11" s="1" t="s">
        <v>292</v>
      </c>
      <c r="I11" s="1" t="s">
        <v>12</v>
      </c>
      <c r="J11" s="6" t="s">
        <v>317</v>
      </c>
    </row>
    <row r="12" spans="1:10">
      <c r="A12" s="8" t="s">
        <v>10</v>
      </c>
      <c r="B12" s="3" t="s">
        <v>362</v>
      </c>
      <c r="C12" s="6" t="s">
        <v>14</v>
      </c>
      <c r="D12" s="19" t="s">
        <v>44</v>
      </c>
      <c r="E12" s="3" t="s">
        <v>589</v>
      </c>
      <c r="F12" s="19" t="s">
        <v>44</v>
      </c>
      <c r="G12" s="3" t="s">
        <v>362</v>
      </c>
      <c r="H12" s="1" t="s">
        <v>292</v>
      </c>
      <c r="I12" s="1" t="s">
        <v>12</v>
      </c>
      <c r="J12" s="6" t="s">
        <v>317</v>
      </c>
    </row>
    <row r="13" spans="1:10">
      <c r="A13" s="8" t="s">
        <v>14</v>
      </c>
      <c r="B13" s="3" t="s">
        <v>362</v>
      </c>
      <c r="C13" s="6" t="s">
        <v>14</v>
      </c>
      <c r="D13" s="19" t="s">
        <v>44</v>
      </c>
      <c r="E13" s="3" t="s">
        <v>589</v>
      </c>
      <c r="F13" s="19" t="s">
        <v>44</v>
      </c>
      <c r="G13" s="3" t="s">
        <v>362</v>
      </c>
      <c r="H13" s="1" t="s">
        <v>292</v>
      </c>
      <c r="I13" s="1" t="s">
        <v>12</v>
      </c>
      <c r="J13" s="6" t="s">
        <v>317</v>
      </c>
    </row>
    <row r="14" spans="1:10">
      <c r="A14" s="8" t="s">
        <v>381</v>
      </c>
      <c r="B14" s="3" t="s">
        <v>362</v>
      </c>
      <c r="C14" s="6" t="s">
        <v>14</v>
      </c>
      <c r="D14" s="19" t="s">
        <v>44</v>
      </c>
      <c r="E14" s="3" t="s">
        <v>589</v>
      </c>
      <c r="F14" s="19" t="s">
        <v>44</v>
      </c>
      <c r="G14" s="3" t="s">
        <v>362</v>
      </c>
      <c r="H14" s="1" t="s">
        <v>292</v>
      </c>
      <c r="I14" s="1" t="s">
        <v>12</v>
      </c>
      <c r="J14" s="6" t="s">
        <v>317</v>
      </c>
    </row>
    <row r="15" spans="1:10">
      <c r="A15" s="8" t="s">
        <v>319</v>
      </c>
      <c r="B15" s="3" t="s">
        <v>362</v>
      </c>
      <c r="C15" s="6" t="s">
        <v>14</v>
      </c>
      <c r="D15" s="19" t="s">
        <v>44</v>
      </c>
      <c r="E15" s="1" t="s">
        <v>589</v>
      </c>
      <c r="F15" s="19" t="s">
        <v>44</v>
      </c>
      <c r="G15" s="1" t="s">
        <v>362</v>
      </c>
      <c r="H15" s="1" t="s">
        <v>314</v>
      </c>
      <c r="I15" s="1" t="s">
        <v>12</v>
      </c>
      <c r="J15" s="6" t="s">
        <v>317</v>
      </c>
    </row>
    <row r="16" spans="1:10">
      <c r="A16" s="8" t="s">
        <v>390</v>
      </c>
      <c r="B16" s="3" t="s">
        <v>362</v>
      </c>
      <c r="C16" s="6" t="s">
        <v>14</v>
      </c>
      <c r="D16" s="19" t="s">
        <v>44</v>
      </c>
      <c r="E16" s="1" t="s">
        <v>601</v>
      </c>
      <c r="F16" s="19" t="s">
        <v>44</v>
      </c>
      <c r="G16" s="3" t="s">
        <v>362</v>
      </c>
      <c r="H16" s="1" t="s">
        <v>302</v>
      </c>
      <c r="I16" s="1" t="s">
        <v>12</v>
      </c>
      <c r="J16" s="1" t="s">
        <v>673</v>
      </c>
    </row>
    <row r="17" spans="1:10">
      <c r="A17" s="8" t="s">
        <v>396</v>
      </c>
      <c r="B17" s="3" t="s">
        <v>362</v>
      </c>
      <c r="C17" s="6" t="s">
        <v>14</v>
      </c>
      <c r="D17" s="19" t="s">
        <v>44</v>
      </c>
      <c r="E17" s="3" t="s">
        <v>601</v>
      </c>
      <c r="F17" s="19" t="s">
        <v>44</v>
      </c>
      <c r="G17" s="3" t="s">
        <v>362</v>
      </c>
      <c r="H17" s="1" t="s">
        <v>302</v>
      </c>
      <c r="I17" s="1" t="s">
        <v>12</v>
      </c>
      <c r="J17" s="6" t="s">
        <v>317</v>
      </c>
    </row>
    <row r="18" spans="1:10">
      <c r="A18" s="8" t="s">
        <v>401</v>
      </c>
      <c r="B18" s="3" t="s">
        <v>362</v>
      </c>
      <c r="C18" s="6" t="s">
        <v>14</v>
      </c>
      <c r="D18" s="19" t="s">
        <v>44</v>
      </c>
      <c r="E18" s="3" t="s">
        <v>601</v>
      </c>
      <c r="F18" s="19" t="s">
        <v>44</v>
      </c>
      <c r="G18" s="3" t="s">
        <v>362</v>
      </c>
      <c r="H18" s="1" t="s">
        <v>302</v>
      </c>
      <c r="I18" s="1" t="s">
        <v>12</v>
      </c>
      <c r="J18" s="6" t="s">
        <v>317</v>
      </c>
    </row>
    <row r="19" spans="1:10">
      <c r="A19" s="8" t="s">
        <v>406</v>
      </c>
      <c r="B19" s="3" t="s">
        <v>362</v>
      </c>
      <c r="C19" s="6" t="s">
        <v>14</v>
      </c>
      <c r="D19" s="19" t="s">
        <v>44</v>
      </c>
      <c r="E19" s="1" t="s">
        <v>601</v>
      </c>
      <c r="F19" s="19" t="s">
        <v>44</v>
      </c>
      <c r="G19" s="1" t="s">
        <v>362</v>
      </c>
      <c r="H19" s="1" t="s">
        <v>302</v>
      </c>
      <c r="I19" s="1" t="s">
        <v>12</v>
      </c>
      <c r="J19" s="3" t="s">
        <v>673</v>
      </c>
    </row>
    <row r="20" spans="1:10">
      <c r="A20" s="8" t="s">
        <v>320</v>
      </c>
      <c r="B20" s="3" t="s">
        <v>362</v>
      </c>
      <c r="C20" s="6" t="s">
        <v>14</v>
      </c>
      <c r="D20" s="19" t="s">
        <v>44</v>
      </c>
      <c r="E20" s="1" t="s">
        <v>607</v>
      </c>
      <c r="F20" s="19" t="s">
        <v>44</v>
      </c>
      <c r="G20" s="1" t="s">
        <v>362</v>
      </c>
      <c r="H20" s="1" t="s">
        <v>302</v>
      </c>
      <c r="I20" s="1" t="s">
        <v>12</v>
      </c>
      <c r="J20" s="6" t="s">
        <v>317</v>
      </c>
    </row>
    <row r="21" spans="1:10">
      <c r="A21" s="8" t="s">
        <v>416</v>
      </c>
      <c r="B21" s="3" t="s">
        <v>362</v>
      </c>
      <c r="C21" s="6" t="s">
        <v>14</v>
      </c>
      <c r="D21" s="19" t="s">
        <v>44</v>
      </c>
      <c r="E21" s="1" t="s">
        <v>609</v>
      </c>
      <c r="F21" s="19" t="s">
        <v>44</v>
      </c>
      <c r="G21" s="3" t="s">
        <v>362</v>
      </c>
      <c r="H21" s="1" t="s">
        <v>302</v>
      </c>
      <c r="I21" s="1" t="s">
        <v>12</v>
      </c>
      <c r="J21" s="6" t="s">
        <v>317</v>
      </c>
    </row>
    <row r="22" spans="1:10">
      <c r="A22" s="8" t="s">
        <v>420</v>
      </c>
      <c r="B22" s="3" t="s">
        <v>362</v>
      </c>
      <c r="C22" s="6" t="s">
        <v>14</v>
      </c>
      <c r="D22" s="19" t="s">
        <v>44</v>
      </c>
      <c r="E22" s="1" t="s">
        <v>610</v>
      </c>
      <c r="F22" s="19" t="s">
        <v>44</v>
      </c>
      <c r="G22" s="1" t="s">
        <v>362</v>
      </c>
      <c r="H22" s="1" t="s">
        <v>302</v>
      </c>
      <c r="I22" s="1" t="s">
        <v>12</v>
      </c>
      <c r="J22" s="6" t="s">
        <v>317</v>
      </c>
    </row>
    <row r="23" spans="1:10">
      <c r="A23" s="8" t="s">
        <v>424</v>
      </c>
      <c r="B23" s="3" t="s">
        <v>362</v>
      </c>
      <c r="C23" s="6" t="s">
        <v>14</v>
      </c>
      <c r="D23" s="19" t="s">
        <v>44</v>
      </c>
      <c r="E23" s="1" t="s">
        <v>612</v>
      </c>
      <c r="F23" s="19" t="s">
        <v>44</v>
      </c>
      <c r="G23" s="3" t="s">
        <v>362</v>
      </c>
      <c r="H23" s="1" t="s">
        <v>302</v>
      </c>
      <c r="I23" s="1" t="s">
        <v>12</v>
      </c>
      <c r="J23" s="6" t="s">
        <v>317</v>
      </c>
    </row>
    <row r="24" spans="1:10">
      <c r="A24" s="8" t="s">
        <v>429</v>
      </c>
      <c r="B24" s="3" t="s">
        <v>362</v>
      </c>
      <c r="C24" s="6" t="s">
        <v>14</v>
      </c>
      <c r="D24" s="19" t="s">
        <v>44</v>
      </c>
      <c r="E24" s="1" t="s">
        <v>609</v>
      </c>
      <c r="F24" s="19" t="s">
        <v>44</v>
      </c>
      <c r="G24" s="3" t="s">
        <v>362</v>
      </c>
      <c r="H24" s="1" t="s">
        <v>292</v>
      </c>
      <c r="I24" s="1" t="s">
        <v>12</v>
      </c>
      <c r="J24" s="6" t="s">
        <v>317</v>
      </c>
    </row>
    <row r="25" spans="1:10">
      <c r="A25" s="8" t="s">
        <v>434</v>
      </c>
      <c r="B25" s="3" t="s">
        <v>362</v>
      </c>
      <c r="C25" s="6" t="s">
        <v>14</v>
      </c>
      <c r="D25" s="19" t="s">
        <v>44</v>
      </c>
      <c r="E25" s="1" t="s">
        <v>613</v>
      </c>
      <c r="F25" s="19" t="s">
        <v>44</v>
      </c>
      <c r="G25" s="1" t="s">
        <v>362</v>
      </c>
      <c r="H25" s="1" t="s">
        <v>314</v>
      </c>
      <c r="I25" s="1" t="s">
        <v>12</v>
      </c>
      <c r="J25" s="6" t="s">
        <v>317</v>
      </c>
    </row>
    <row r="26" spans="1:10">
      <c r="A26" s="8" t="s">
        <v>438</v>
      </c>
      <c r="B26" s="3" t="s">
        <v>362</v>
      </c>
      <c r="C26" s="6" t="s">
        <v>14</v>
      </c>
      <c r="D26" s="19" t="s">
        <v>44</v>
      </c>
      <c r="E26" s="1" t="s">
        <v>617</v>
      </c>
      <c r="F26" s="19" t="s">
        <v>44</v>
      </c>
      <c r="G26" s="1" t="s">
        <v>362</v>
      </c>
      <c r="H26" s="1" t="s">
        <v>314</v>
      </c>
      <c r="I26" s="1" t="s">
        <v>12</v>
      </c>
      <c r="J26" s="6" t="s">
        <v>317</v>
      </c>
    </row>
    <row r="27" spans="1:10">
      <c r="A27" s="7" t="s">
        <v>442</v>
      </c>
      <c r="B27" s="2" t="s">
        <v>362</v>
      </c>
      <c r="C27" s="6" t="s">
        <v>14</v>
      </c>
      <c r="D27" s="19" t="s">
        <v>44</v>
      </c>
      <c r="E27" s="1" t="s">
        <v>609</v>
      </c>
      <c r="F27" s="19" t="s">
        <v>44</v>
      </c>
      <c r="G27" s="1" t="s">
        <v>362</v>
      </c>
      <c r="H27" s="1" t="s">
        <v>314</v>
      </c>
      <c r="I27" s="1" t="s">
        <v>12</v>
      </c>
      <c r="J27" s="6" t="s">
        <v>317</v>
      </c>
    </row>
    <row r="28" spans="1:10">
      <c r="A28" s="8" t="s">
        <v>448</v>
      </c>
      <c r="B28" s="8" t="s">
        <v>469</v>
      </c>
      <c r="C28" s="8" t="s">
        <v>10</v>
      </c>
      <c r="D28" s="19" t="s">
        <v>44</v>
      </c>
      <c r="E28" s="3" t="s">
        <v>619</v>
      </c>
      <c r="F28" s="19" t="s">
        <v>44</v>
      </c>
      <c r="G28" s="1" t="s">
        <v>469</v>
      </c>
      <c r="H28" s="1" t="s">
        <v>314</v>
      </c>
      <c r="I28" s="1" t="s">
        <v>12</v>
      </c>
      <c r="J28" s="6" t="s">
        <v>317</v>
      </c>
    </row>
    <row r="29" spans="1:10">
      <c r="A29" s="6" t="s">
        <v>455</v>
      </c>
      <c r="B29" s="6" t="s">
        <v>469</v>
      </c>
      <c r="C29" s="1" t="s">
        <v>10</v>
      </c>
      <c r="D29" s="19" t="s">
        <v>44</v>
      </c>
      <c r="E29" s="1" t="s">
        <v>619</v>
      </c>
      <c r="F29" s="19" t="s">
        <v>44</v>
      </c>
      <c r="G29" s="1" t="s">
        <v>469</v>
      </c>
      <c r="H29" s="1" t="s">
        <v>314</v>
      </c>
      <c r="I29" s="1" t="s">
        <v>12</v>
      </c>
      <c r="J29" s="6" t="s">
        <v>317</v>
      </c>
    </row>
    <row r="30" spans="1:10">
      <c r="A30" s="6" t="s">
        <v>460</v>
      </c>
      <c r="B30" s="1" t="s">
        <v>476</v>
      </c>
      <c r="C30" s="1" t="s">
        <v>10</v>
      </c>
      <c r="D30" s="19" t="s">
        <v>44</v>
      </c>
      <c r="E30" s="1" t="s">
        <v>622</v>
      </c>
      <c r="F30" s="19" t="s">
        <v>44</v>
      </c>
      <c r="G30" s="1" t="s">
        <v>476</v>
      </c>
      <c r="H30" s="1" t="s">
        <v>314</v>
      </c>
      <c r="I30" s="1" t="s">
        <v>12</v>
      </c>
      <c r="J30" s="6" t="s">
        <v>317</v>
      </c>
    </row>
    <row r="31" spans="1:10">
      <c r="A31" s="8" t="s">
        <v>464</v>
      </c>
      <c r="B31" s="6" t="s">
        <v>479</v>
      </c>
      <c r="C31" s="6" t="s">
        <v>10</v>
      </c>
      <c r="D31" s="19" t="s">
        <v>44</v>
      </c>
      <c r="E31" s="1" t="s">
        <v>617</v>
      </c>
      <c r="F31" s="19" t="s">
        <v>44</v>
      </c>
      <c r="G31" s="1" t="s">
        <v>479</v>
      </c>
      <c r="H31" s="1" t="s">
        <v>314</v>
      </c>
      <c r="I31" s="1" t="s">
        <v>12</v>
      </c>
      <c r="J31" s="6" t="s">
        <v>317</v>
      </c>
    </row>
    <row r="32" spans="1:10">
      <c r="A32" s="6" t="s">
        <v>468</v>
      </c>
      <c r="B32" s="16" t="s">
        <v>479</v>
      </c>
      <c r="C32" s="6" t="s">
        <v>10</v>
      </c>
      <c r="D32" s="19" t="s">
        <v>44</v>
      </c>
      <c r="E32" s="3" t="s">
        <v>617</v>
      </c>
      <c r="F32" s="19" t="s">
        <v>44</v>
      </c>
      <c r="G32" s="1" t="s">
        <v>479</v>
      </c>
      <c r="H32" s="1" t="s">
        <v>314</v>
      </c>
      <c r="I32" s="1" t="s">
        <v>12</v>
      </c>
      <c r="J32" s="6" t="s">
        <v>317</v>
      </c>
    </row>
    <row r="33" spans="1:10">
      <c r="A33" s="6" t="s">
        <v>472</v>
      </c>
      <c r="B33" s="6" t="s">
        <v>621</v>
      </c>
      <c r="C33" s="1" t="s">
        <v>10</v>
      </c>
      <c r="D33" s="19" t="s">
        <v>44</v>
      </c>
      <c r="E33" s="1" t="s">
        <v>622</v>
      </c>
      <c r="F33" s="19" t="s">
        <v>44</v>
      </c>
      <c r="G33" s="1" t="s">
        <v>621</v>
      </c>
      <c r="H33" s="1" t="s">
        <v>314</v>
      </c>
      <c r="I33" s="1" t="s">
        <v>12</v>
      </c>
      <c r="J33" s="6" t="s">
        <v>317</v>
      </c>
    </row>
    <row r="34" spans="1:10">
      <c r="A34" s="6" t="s">
        <v>150</v>
      </c>
      <c r="B34" s="6" t="s">
        <v>505</v>
      </c>
      <c r="C34" s="1" t="s">
        <v>10</v>
      </c>
      <c r="D34" s="19" t="s">
        <v>44</v>
      </c>
      <c r="E34" s="1" t="s">
        <v>622</v>
      </c>
      <c r="F34" s="19" t="s">
        <v>44</v>
      </c>
      <c r="G34" s="1" t="s">
        <v>505</v>
      </c>
      <c r="H34" s="1" t="s">
        <v>314</v>
      </c>
      <c r="I34" s="1" t="s">
        <v>12</v>
      </c>
      <c r="J34" s="6" t="s">
        <v>317</v>
      </c>
    </row>
    <row r="35" spans="1:10">
      <c r="A35" s="6" t="s">
        <v>478</v>
      </c>
      <c r="B35" s="6" t="s">
        <v>624</v>
      </c>
      <c r="C35" s="1" t="s">
        <v>10</v>
      </c>
      <c r="D35" s="19" t="s">
        <v>44</v>
      </c>
      <c r="E35" s="1" t="s">
        <v>622</v>
      </c>
      <c r="F35" s="19" t="s">
        <v>44</v>
      </c>
      <c r="G35" s="1" t="s">
        <v>624</v>
      </c>
      <c r="H35" s="1" t="s">
        <v>314</v>
      </c>
      <c r="I35" s="1" t="s">
        <v>12</v>
      </c>
      <c r="J35" s="6" t="s">
        <v>317</v>
      </c>
    </row>
    <row r="36" spans="1:10">
      <c r="A36" s="6" t="s">
        <v>482</v>
      </c>
      <c r="B36" s="6" t="s">
        <v>507</v>
      </c>
      <c r="C36" s="1" t="s">
        <v>10</v>
      </c>
      <c r="D36" s="19" t="s">
        <v>44</v>
      </c>
      <c r="E36" s="1" t="s">
        <v>622</v>
      </c>
      <c r="F36" s="19" t="s">
        <v>44</v>
      </c>
      <c r="G36" s="1" t="s">
        <v>507</v>
      </c>
      <c r="H36" s="1" t="s">
        <v>311</v>
      </c>
      <c r="I36" s="1" t="s">
        <v>12</v>
      </c>
      <c r="J36" s="6" t="s">
        <v>317</v>
      </c>
    </row>
    <row r="37" spans="1:10">
      <c r="A37" s="6" t="s">
        <v>486</v>
      </c>
      <c r="B37" s="8" t="s">
        <v>507</v>
      </c>
      <c r="C37" s="1" t="s">
        <v>10</v>
      </c>
      <c r="D37" s="19" t="s">
        <v>44</v>
      </c>
      <c r="E37" s="3" t="s">
        <v>622</v>
      </c>
      <c r="F37" s="19" t="s">
        <v>44</v>
      </c>
      <c r="G37" s="1" t="s">
        <v>507</v>
      </c>
      <c r="H37" s="1" t="s">
        <v>311</v>
      </c>
      <c r="I37" s="1" t="s">
        <v>12</v>
      </c>
      <c r="J37" s="6" t="s">
        <v>317</v>
      </c>
    </row>
    <row r="38" spans="1:10">
      <c r="A38" s="6" t="s">
        <v>489</v>
      </c>
      <c r="B38" s="8" t="s">
        <v>507</v>
      </c>
      <c r="C38" s="1" t="s">
        <v>10</v>
      </c>
      <c r="D38" s="19" t="s">
        <v>44</v>
      </c>
      <c r="E38" s="3" t="s">
        <v>622</v>
      </c>
      <c r="F38" s="19" t="s">
        <v>44</v>
      </c>
      <c r="G38" s="1" t="s">
        <v>507</v>
      </c>
      <c r="H38" s="1" t="s">
        <v>311</v>
      </c>
      <c r="I38" s="1" t="s">
        <v>12</v>
      </c>
      <c r="J38" s="6" t="s">
        <v>317</v>
      </c>
    </row>
    <row r="39" spans="1:10">
      <c r="A39" s="6" t="s">
        <v>494</v>
      </c>
      <c r="B39" s="6" t="s">
        <v>514</v>
      </c>
      <c r="C39" s="1" t="s">
        <v>10</v>
      </c>
      <c r="D39" s="19" t="s">
        <v>44</v>
      </c>
      <c r="E39" s="1" t="s">
        <v>622</v>
      </c>
      <c r="F39" s="19" t="s">
        <v>44</v>
      </c>
      <c r="G39" s="1" t="s">
        <v>514</v>
      </c>
      <c r="H39" s="1" t="s">
        <v>314</v>
      </c>
      <c r="I39" s="1" t="s">
        <v>12</v>
      </c>
      <c r="J39" s="6" t="s">
        <v>317</v>
      </c>
    </row>
    <row r="40" spans="1:10">
      <c r="A40" s="6" t="s">
        <v>498</v>
      </c>
      <c r="B40" s="8" t="s">
        <v>514</v>
      </c>
      <c r="C40" s="1" t="s">
        <v>10</v>
      </c>
      <c r="D40" s="19" t="s">
        <v>44</v>
      </c>
      <c r="E40" s="3" t="s">
        <v>622</v>
      </c>
      <c r="F40" s="19" t="s">
        <v>44</v>
      </c>
      <c r="G40" s="1" t="s">
        <v>514</v>
      </c>
      <c r="H40" s="1" t="s">
        <v>314</v>
      </c>
      <c r="I40" s="1" t="s">
        <v>12</v>
      </c>
      <c r="J40" s="6" t="s">
        <v>317</v>
      </c>
    </row>
    <row r="41" spans="1:10">
      <c r="A41" s="6" t="s">
        <v>147</v>
      </c>
      <c r="B41" s="8" t="s">
        <v>514</v>
      </c>
      <c r="C41" s="1" t="s">
        <v>10</v>
      </c>
      <c r="D41" s="19" t="s">
        <v>44</v>
      </c>
      <c r="E41" s="3" t="s">
        <v>622</v>
      </c>
      <c r="F41" s="19" t="s">
        <v>44</v>
      </c>
      <c r="G41" s="1" t="s">
        <v>514</v>
      </c>
      <c r="H41" s="1" t="s">
        <v>314</v>
      </c>
      <c r="I41" s="1" t="s">
        <v>12</v>
      </c>
      <c r="J41" s="6" t="s">
        <v>317</v>
      </c>
    </row>
    <row r="42" spans="1:10">
      <c r="A42" s="6" t="s">
        <v>504</v>
      </c>
      <c r="B42" s="6" t="s">
        <v>674</v>
      </c>
      <c r="C42" s="6" t="s">
        <v>10</v>
      </c>
      <c r="D42" s="6" t="s">
        <v>44</v>
      </c>
      <c r="E42" s="1" t="s">
        <v>622</v>
      </c>
      <c r="F42" s="6" t="s">
        <v>44</v>
      </c>
      <c r="G42" s="6" t="s">
        <v>674</v>
      </c>
      <c r="H42" s="1" t="s">
        <v>314</v>
      </c>
      <c r="I42" s="1" t="s">
        <v>12</v>
      </c>
      <c r="J42" s="6" t="s">
        <v>317</v>
      </c>
    </row>
    <row r="43" spans="1:10">
      <c r="A43" s="6" t="s">
        <v>675</v>
      </c>
      <c r="B43" s="6" t="s">
        <v>676</v>
      </c>
      <c r="C43" s="6" t="s">
        <v>10</v>
      </c>
      <c r="D43" s="6" t="s">
        <v>44</v>
      </c>
      <c r="E43" s="1" t="s">
        <v>617</v>
      </c>
      <c r="F43" s="6" t="s">
        <v>44</v>
      </c>
      <c r="G43" s="6" t="s">
        <v>676</v>
      </c>
      <c r="H43" s="1" t="s">
        <v>314</v>
      </c>
      <c r="I43" s="1" t="s">
        <v>12</v>
      </c>
      <c r="J43" s="6" t="s">
        <v>317</v>
      </c>
    </row>
    <row r="44" spans="1:10">
      <c r="A44" s="6" t="s">
        <v>677</v>
      </c>
      <c r="B44" s="6" t="s">
        <v>676</v>
      </c>
      <c r="C44" s="6" t="s">
        <v>10</v>
      </c>
      <c r="D44" s="6" t="s">
        <v>44</v>
      </c>
      <c r="E44" s="1" t="s">
        <v>617</v>
      </c>
      <c r="F44" s="6" t="s">
        <v>44</v>
      </c>
      <c r="G44" s="6" t="s">
        <v>676</v>
      </c>
      <c r="H44" s="1" t="s">
        <v>314</v>
      </c>
      <c r="I44" s="1" t="s">
        <v>12</v>
      </c>
      <c r="J44" s="6" t="s">
        <v>317</v>
      </c>
    </row>
  </sheetData>
  <conditionalFormatting sqref="A11:AF999999">
    <cfRule type="expression" dxfId="85" priority="2">
      <formula>AND(A11="", $A11&lt;&gt;"", A$10&lt;&gt;"")</formula>
    </cfRule>
  </conditionalFormatting>
  <conditionalFormatting sqref="A11:AF999999">
    <cfRule type="expression" dxfId="84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EDC4-61FD-4451-A741-A4B898C878B7}">
  <dimension ref="A1:AB66"/>
  <sheetViews>
    <sheetView workbookViewId="0">
      <pane xSplit="2" topLeftCell="C24" activePane="topRight" state="frozen"/>
      <selection pane="topRight" activeCell="AA8" sqref="AA8"/>
    </sheetView>
  </sheetViews>
  <sheetFormatPr defaultRowHeight="15"/>
  <cols>
    <col min="1" max="1" width="13.5703125" style="17" customWidth="1"/>
    <col min="2" max="3" width="13.7109375" style="17" customWidth="1"/>
    <col min="4" max="4" width="10" style="17" customWidth="1"/>
    <col min="5" max="5" width="18.5703125" style="17" customWidth="1"/>
    <col min="6" max="6" width="41.7109375" style="17" customWidth="1"/>
    <col min="7" max="7" width="13.7109375" style="17" customWidth="1"/>
    <col min="8" max="8" width="14.28515625" style="17" customWidth="1"/>
    <col min="9" max="9" width="27.5703125" style="17" customWidth="1"/>
    <col min="10" max="10" width="27.7109375" style="17" customWidth="1"/>
    <col min="11" max="11" width="22.28515625" style="17" customWidth="1"/>
    <col min="12" max="12" width="28.5703125" style="17" customWidth="1"/>
    <col min="13" max="13" width="22.28515625" style="17" customWidth="1"/>
    <col min="14" max="14" width="24.28515625" style="17" bestFit="1" customWidth="1"/>
    <col min="15" max="15" width="18.28515625" style="17" customWidth="1"/>
    <col min="16" max="16" width="17.5703125" style="17" customWidth="1"/>
    <col min="17" max="17" width="17.85546875" style="17" customWidth="1"/>
    <col min="18" max="21" width="25.7109375" style="17" customWidth="1"/>
    <col min="22" max="22" width="24.85546875" style="17" customWidth="1"/>
    <col min="23" max="26" width="17.85546875" style="17" customWidth="1"/>
    <col min="27" max="27" width="19.28515625" style="17" customWidth="1"/>
    <col min="28" max="28" width="160.42578125" style="17" customWidth="1"/>
    <col min="29" max="16384" width="9.140625" style="17"/>
  </cols>
  <sheetData>
    <row r="1" spans="1:28">
      <c r="A1" s="17" t="s">
        <v>537</v>
      </c>
      <c r="C1" s="3"/>
      <c r="F1" s="20"/>
      <c r="L1" s="3"/>
      <c r="M1" s="3"/>
      <c r="W1" s="17" t="s">
        <v>362</v>
      </c>
      <c r="X1" s="20" t="s">
        <v>362</v>
      </c>
      <c r="Y1" s="20" t="s">
        <v>362</v>
      </c>
      <c r="Z1" s="20"/>
      <c r="AA1" s="20"/>
    </row>
    <row r="2" spans="1:28">
      <c r="A2" s="3" t="s">
        <v>678</v>
      </c>
      <c r="W2" s="17" t="s">
        <v>541</v>
      </c>
      <c r="X2" s="17" t="s">
        <v>542</v>
      </c>
      <c r="Y2" s="17" t="s">
        <v>543</v>
      </c>
    </row>
    <row r="3" spans="1:28">
      <c r="W3" s="17" t="s">
        <v>545</v>
      </c>
      <c r="X3" s="17" t="s">
        <v>546</v>
      </c>
      <c r="Y3" s="17" t="s">
        <v>547</v>
      </c>
    </row>
    <row r="4" spans="1:28">
      <c r="W4" s="17" t="s">
        <v>548</v>
      </c>
      <c r="X4" s="17" t="s">
        <v>549</v>
      </c>
      <c r="Y4" s="20" t="s">
        <v>550</v>
      </c>
      <c r="Z4" s="20"/>
      <c r="AA4" s="20"/>
    </row>
    <row r="5" spans="1:28">
      <c r="W5" s="17" t="s">
        <v>551</v>
      </c>
      <c r="Y5" s="20" t="s">
        <v>552</v>
      </c>
      <c r="Z5" s="20"/>
      <c r="AA5" s="20"/>
    </row>
    <row r="6" spans="1:28">
      <c r="W6" s="17" t="s">
        <v>553</v>
      </c>
    </row>
    <row r="7" spans="1:28">
      <c r="W7" s="20" t="s">
        <v>554</v>
      </c>
    </row>
    <row r="8" spans="1:28">
      <c r="W8" s="20" t="s">
        <v>555</v>
      </c>
    </row>
    <row r="9" spans="1:28">
      <c r="C9" s="17" t="s">
        <v>182</v>
      </c>
      <c r="F9" s="19" t="s">
        <v>556</v>
      </c>
      <c r="G9" s="17" t="s">
        <v>182</v>
      </c>
      <c r="H9" s="17" t="s">
        <v>182</v>
      </c>
      <c r="I9" s="19" t="s">
        <v>679</v>
      </c>
      <c r="J9" s="19" t="s">
        <v>680</v>
      </c>
      <c r="K9" s="17" t="s">
        <v>182</v>
      </c>
      <c r="L9" s="3" t="s">
        <v>539</v>
      </c>
      <c r="O9" s="19" t="s">
        <v>557</v>
      </c>
      <c r="P9" s="17" t="s">
        <v>182</v>
      </c>
    </row>
    <row r="10" spans="1:28">
      <c r="A10" s="34" t="s">
        <v>558</v>
      </c>
      <c r="B10" s="34" t="s">
        <v>559</v>
      </c>
      <c r="C10" s="34" t="s">
        <v>681</v>
      </c>
      <c r="D10" s="17" t="s">
        <v>278</v>
      </c>
      <c r="E10" s="17" t="s">
        <v>682</v>
      </c>
      <c r="F10" s="17" t="s">
        <v>560</v>
      </c>
      <c r="G10" s="34" t="s">
        <v>683</v>
      </c>
      <c r="H10" s="34" t="s">
        <v>561</v>
      </c>
      <c r="I10" s="34" t="s">
        <v>684</v>
      </c>
      <c r="J10" s="34" t="s">
        <v>685</v>
      </c>
      <c r="K10" s="34" t="s">
        <v>566</v>
      </c>
      <c r="L10" s="34" t="s">
        <v>567</v>
      </c>
      <c r="M10" s="34" t="s">
        <v>568</v>
      </c>
      <c r="N10" s="17" t="s">
        <v>686</v>
      </c>
      <c r="O10" s="17" t="s">
        <v>570</v>
      </c>
      <c r="P10" s="34" t="s">
        <v>580</v>
      </c>
      <c r="Q10" s="34" t="s">
        <v>581</v>
      </c>
      <c r="R10" s="34" t="s">
        <v>687</v>
      </c>
      <c r="S10" s="34" t="s">
        <v>688</v>
      </c>
      <c r="T10" s="34" t="s">
        <v>689</v>
      </c>
      <c r="U10" s="34" t="s">
        <v>690</v>
      </c>
      <c r="V10" s="34" t="s">
        <v>691</v>
      </c>
      <c r="W10" s="34" t="s">
        <v>584</v>
      </c>
      <c r="X10" s="34" t="s">
        <v>585</v>
      </c>
      <c r="Y10" s="34" t="s">
        <v>586</v>
      </c>
      <c r="Z10" s="34" t="s">
        <v>692</v>
      </c>
      <c r="AA10" s="34" t="s">
        <v>693</v>
      </c>
      <c r="AB10" s="17" t="s">
        <v>356</v>
      </c>
    </row>
    <row r="11" spans="1:28">
      <c r="A11" s="19" t="s">
        <v>6</v>
      </c>
      <c r="B11" s="19" t="s">
        <v>6</v>
      </c>
      <c r="C11" s="19" t="s">
        <v>6</v>
      </c>
      <c r="D11" s="17" t="str" cm="1">
        <f t="array" aca="1" ref="D11" ca="1">_xlfn.LET(_xlpm.value, _xlfn.XLOOKUP(Growing[[#This Row],[Seed Cup]], Cups[Id], Cups[Seed]), IF(_xlpm.value="", "", _xlpm.value))</f>
        <v>3059JP.65</v>
      </c>
      <c r="E11" s="17" t="str" cm="1">
        <f t="array" aca="1" ref="E11" ca="1">_xlfn.LET(_xlpm.value, _xlfn.XLOOKUP(Growing[[#This Row],[Seed]], Seeds[Seed], Seeds[Common Name]), IFERROR(_xlpm.value, ""))</f>
        <v>Red Oakleaf Lettuce</v>
      </c>
      <c r="F11" s="17" t="str">
        <f ca="1">IF(Growing[[#This Row],[Growing Jar]]="None", "None", IF(Growing[[#This Row],[Growing Jar]]="", "", _xlfn.XLOOKUP(Growing[[#This Row],[Growing Jar]],Jars!A:A,Jars!C:C)))</f>
        <v>Romaine Calm</v>
      </c>
      <c r="G11" s="19" t="str" cm="1">
        <f t="array" aca="1" ref="G1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1" s="17" t="str" cm="1">
        <f t="array" aca="1" ref="H11" ca="1">_xlfn.LET(_xlpm.value, _xlfn.XLOOKUP(Growing[[#This Row],[Seed Cup]], Cups[Id], Cups[Date Seeded]), IF(_xlpm.value="", "", _xlpm.value))</f>
        <v>Unknown</v>
      </c>
      <c r="I1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1" s="17" t="s">
        <v>362</v>
      </c>
      <c r="L11" s="17" t="s">
        <v>362</v>
      </c>
      <c r="M11" s="17" t="s">
        <v>366</v>
      </c>
      <c r="N11" s="17" t="s">
        <v>16</v>
      </c>
      <c r="O1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1" s="17" t="s">
        <v>591</v>
      </c>
      <c r="Q11" s="17" t="s">
        <v>594</v>
      </c>
      <c r="R11" s="20" t="s">
        <v>362</v>
      </c>
      <c r="S11" s="37" t="s">
        <v>362</v>
      </c>
      <c r="T11" s="37" t="s">
        <v>362</v>
      </c>
      <c r="U11" s="37" t="s">
        <v>362</v>
      </c>
      <c r="V11" s="20" t="s">
        <v>362</v>
      </c>
      <c r="W11" s="20" t="s">
        <v>362</v>
      </c>
      <c r="X11" s="20" t="s">
        <v>362</v>
      </c>
      <c r="Y11" s="20" t="s">
        <v>362</v>
      </c>
      <c r="Z11" s="37" t="s">
        <v>362</v>
      </c>
      <c r="AA11" s="37" t="s">
        <v>362</v>
      </c>
      <c r="AB11" s="17" t="s">
        <v>593</v>
      </c>
    </row>
    <row r="12" spans="1:28">
      <c r="A12" s="21" t="s">
        <v>10</v>
      </c>
      <c r="B12" s="21" t="s">
        <v>10</v>
      </c>
      <c r="C12" s="19" t="s">
        <v>10</v>
      </c>
      <c r="D12" s="17" t="str" cm="1">
        <f t="array" aca="1" ref="D12" ca="1">_xlfn.LET(_xlpm.value, _xlfn.XLOOKUP(Growing[[#This Row],[Seed Cup]], Cups[Id], Cups[Seed]), IF(_xlpm.value="", "", _xlpm.value))</f>
        <v>3059JP.65</v>
      </c>
      <c r="E12" s="17" t="str" cm="1">
        <f t="array" aca="1" ref="E12" ca="1">_xlfn.LET(_xlpm.value, _xlfn.XLOOKUP(Growing[[#This Row],[Seed]], Seeds[Seed], Seeds[Common Name]), IFERROR(_xlpm.value, ""))</f>
        <v>Red Oakleaf Lettuce</v>
      </c>
      <c r="F12" s="17" t="str">
        <f ca="1">IF(Growing[[#This Row],[Growing Jar]]="None", "None", IF(Growing[[#This Row],[Growing Jar]]="", "", _xlfn.XLOOKUP(Growing[[#This Row],[Growing Jar]],Jars!A:A,Jars!C:C)))</f>
        <v>Leaf Quickly</v>
      </c>
      <c r="G12" s="21" t="str" cm="1">
        <f t="array" aca="1" ref="G1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2" s="20" t="str" cm="1">
        <f t="array" aca="1" ref="H12" ca="1">_xlfn.LET(_xlpm.value, _xlfn.XLOOKUP(Growing[[#This Row],[Seed Cup]], Cups[Id], Cups[Date Seeded]), IF(_xlpm.value="", "", _xlpm.value))</f>
        <v>Unknown</v>
      </c>
      <c r="I1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2" s="20" t="s">
        <v>362</v>
      </c>
      <c r="L12" s="20" t="s">
        <v>362</v>
      </c>
      <c r="M12" s="20" t="s">
        <v>366</v>
      </c>
      <c r="N12" s="17" t="s">
        <v>16</v>
      </c>
      <c r="O1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2" s="17" t="s">
        <v>590</v>
      </c>
      <c r="Q12" s="17" t="s">
        <v>594</v>
      </c>
      <c r="R12" s="20" t="s">
        <v>362</v>
      </c>
      <c r="S12" s="38" t="s">
        <v>362</v>
      </c>
      <c r="T12" s="38" t="s">
        <v>362</v>
      </c>
      <c r="U12" s="38" t="s">
        <v>362</v>
      </c>
      <c r="V12" s="20" t="s">
        <v>362</v>
      </c>
      <c r="W12" s="20" t="s">
        <v>362</v>
      </c>
      <c r="X12" s="20" t="s">
        <v>362</v>
      </c>
      <c r="Y12" s="20" t="s">
        <v>362</v>
      </c>
      <c r="Z12" s="38" t="s">
        <v>362</v>
      </c>
      <c r="AA12" s="38" t="s">
        <v>362</v>
      </c>
      <c r="AB12" s="20" t="s">
        <v>595</v>
      </c>
    </row>
    <row r="13" spans="1:28">
      <c r="A13" s="21" t="s">
        <v>14</v>
      </c>
      <c r="B13" s="21" t="s">
        <v>14</v>
      </c>
      <c r="C13" s="19" t="s">
        <v>14</v>
      </c>
      <c r="D13" s="17" t="str" cm="1">
        <f t="array" aca="1" ref="D13" ca="1">_xlfn.LET(_xlpm.value, _xlfn.XLOOKUP(Growing[[#This Row],[Seed Cup]], Cups[Id], Cups[Seed]), IF(_xlpm.value="", "", _xlpm.value))</f>
        <v>3059JP.65</v>
      </c>
      <c r="E13" s="17" t="str" cm="1">
        <f t="array" aca="1" ref="E13" ca="1">_xlfn.LET(_xlpm.value, _xlfn.XLOOKUP(Growing[[#This Row],[Seed]], Seeds[Seed], Seeds[Common Name]), IFERROR(_xlpm.value, ""))</f>
        <v>Red Oakleaf Lettuce</v>
      </c>
      <c r="F13" s="17" t="str">
        <f ca="1">IF(Growing[[#This Row],[Growing Jar]]="None", "None", IF(Growing[[#This Row],[Growing Jar]]="", "", _xlfn.XLOOKUP(Growing[[#This Row],[Growing Jar]],Jars!A:A,Jars!C:C)))</f>
        <v>Toss Boss</v>
      </c>
      <c r="G13" s="21" t="str" cm="1">
        <f t="array" aca="1" ref="G1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3" s="20" t="str" cm="1">
        <f t="array" aca="1" ref="H13" ca="1">_xlfn.LET(_xlpm.value, _xlfn.XLOOKUP(Growing[[#This Row],[Seed Cup]], Cups[Id], Cups[Date Seeded]), IF(_xlpm.value="", "", _xlpm.value))</f>
        <v>Unknown</v>
      </c>
      <c r="I1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3" s="20" t="s">
        <v>362</v>
      </c>
      <c r="L13" s="17" t="s">
        <v>362</v>
      </c>
      <c r="M13" s="20" t="s">
        <v>366</v>
      </c>
      <c r="N13" s="17" t="s">
        <v>16</v>
      </c>
      <c r="O1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3" s="17" t="s">
        <v>590</v>
      </c>
      <c r="Q13" s="17" t="s">
        <v>594</v>
      </c>
      <c r="R13" s="20" t="s">
        <v>362</v>
      </c>
      <c r="S13" s="37" t="s">
        <v>362</v>
      </c>
      <c r="T13" s="37" t="s">
        <v>362</v>
      </c>
      <c r="U13" s="37" t="s">
        <v>362</v>
      </c>
      <c r="V13" s="20" t="s">
        <v>362</v>
      </c>
      <c r="W13" s="20" t="s">
        <v>362</v>
      </c>
      <c r="X13" s="20" t="s">
        <v>362</v>
      </c>
      <c r="Y13" s="20" t="s">
        <v>362</v>
      </c>
      <c r="Z13" s="37" t="s">
        <v>362</v>
      </c>
      <c r="AA13" s="37" t="s">
        <v>362</v>
      </c>
      <c r="AB13" s="20" t="s">
        <v>595</v>
      </c>
    </row>
    <row r="14" spans="1:28">
      <c r="A14" s="21" t="s">
        <v>381</v>
      </c>
      <c r="B14" s="21" t="s">
        <v>381</v>
      </c>
      <c r="C14" s="19" t="s">
        <v>381</v>
      </c>
      <c r="D14" s="17" t="str" cm="1">
        <f t="array" aca="1" ref="D14" ca="1">_xlfn.LET(_xlpm.value, _xlfn.XLOOKUP(Growing[[#This Row],[Seed Cup]], Cups[Id], Cups[Seed]), IF(_xlpm.value="", "", _xlpm.value))</f>
        <v>3059JP.65</v>
      </c>
      <c r="E14" s="17" t="str" cm="1">
        <f t="array" aca="1" ref="E14" ca="1">_xlfn.LET(_xlpm.value, _xlfn.XLOOKUP(Growing[[#This Row],[Seed]], Seeds[Seed], Seeds[Common Name]), IFERROR(_xlpm.value, ""))</f>
        <v>Red Oakleaf Lettuce</v>
      </c>
      <c r="F14" s="17" t="str">
        <f ca="1">IF(Growing[[#This Row],[Growing Jar]]="None", "None", IF(Growing[[#This Row],[Growing Jar]]="", "", _xlfn.XLOOKUP(Growing[[#This Row],[Growing Jar]],Jars!A:A,Jars!C:C)))</f>
        <v>Lettuce Bee Bold</v>
      </c>
      <c r="G14" s="21" t="str" cm="1">
        <f t="array" aca="1" ref="G1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4" s="20" t="str" cm="1">
        <f t="array" aca="1" ref="H14" ca="1">_xlfn.LET(_xlpm.value, _xlfn.XLOOKUP(Growing[[#This Row],[Seed Cup]], Cups[Id], Cups[Date Seeded]), IF(_xlpm.value="", "", _xlpm.value))</f>
        <v>Unknown</v>
      </c>
      <c r="I1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4" s="20" t="s">
        <v>362</v>
      </c>
      <c r="L14" s="17" t="s">
        <v>362</v>
      </c>
      <c r="M14" s="20" t="s">
        <v>366</v>
      </c>
      <c r="N14" s="17" t="s">
        <v>16</v>
      </c>
      <c r="O1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4" s="17" t="s">
        <v>591</v>
      </c>
      <c r="Q14" s="17" t="s">
        <v>594</v>
      </c>
      <c r="R14" s="20" t="s">
        <v>362</v>
      </c>
      <c r="S14" s="38" t="s">
        <v>362</v>
      </c>
      <c r="T14" s="38" t="s">
        <v>362</v>
      </c>
      <c r="U14" s="38" t="s">
        <v>362</v>
      </c>
      <c r="V14" s="20" t="s">
        <v>362</v>
      </c>
      <c r="W14" s="20" t="s">
        <v>362</v>
      </c>
      <c r="X14" s="20" t="s">
        <v>362</v>
      </c>
      <c r="Y14" s="20" t="s">
        <v>362</v>
      </c>
      <c r="Z14" s="38" t="s">
        <v>362</v>
      </c>
      <c r="AA14" s="38" t="s">
        <v>362</v>
      </c>
      <c r="AB14" s="20" t="s">
        <v>593</v>
      </c>
    </row>
    <row r="15" spans="1:28">
      <c r="A15" s="21" t="s">
        <v>319</v>
      </c>
      <c r="B15" s="21" t="s">
        <v>319</v>
      </c>
      <c r="C15" s="19" t="s">
        <v>319</v>
      </c>
      <c r="D15" s="17" t="str" cm="1">
        <f t="array" aca="1" ref="D15" ca="1">_xlfn.LET(_xlpm.value, _xlfn.XLOOKUP(Growing[[#This Row],[Seed Cup]], Cups[Id], Cups[Seed]), IF(_xlpm.value="", "", _xlpm.value))</f>
        <v>2178GP.53</v>
      </c>
      <c r="E15" s="17" t="str" cm="1">
        <f t="array" aca="1" ref="E15" ca="1">_xlfn.LET(_xlpm.value, _xlfn.XLOOKUP(Growing[[#This Row],[Seed]], Seeds[Seed], Seeds[Common Name]), IFERROR(_xlpm.value, ""))</f>
        <v>Nufar Basil</v>
      </c>
      <c r="F15" s="17" t="str">
        <f ca="1">IF(Growing[[#This Row],[Growing Jar]]="None", "None", IF(Growing[[#This Row],[Growing Jar]]="", "", _xlfn.XLOOKUP(Growing[[#This Row],[Growing Jar]],Jars!A:A,Jars!C:C)))</f>
        <v>Dressed for Success</v>
      </c>
      <c r="G15" s="21" t="str" cm="1">
        <f t="array" aca="1" ref="G1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5" s="20" t="str" cm="1">
        <f t="array" aca="1" ref="H15" ca="1">_xlfn.LET(_xlpm.value, _xlfn.XLOOKUP(Growing[[#This Row],[Seed Cup]], Cups[Id], Cups[Date Seeded]), IF(_xlpm.value="", "", _xlpm.value))</f>
        <v>Unknown</v>
      </c>
      <c r="I1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5" s="20" t="s">
        <v>362</v>
      </c>
      <c r="L15" s="17" t="s">
        <v>362</v>
      </c>
      <c r="M15" s="20" t="s">
        <v>366</v>
      </c>
      <c r="N15" s="17" t="s">
        <v>16</v>
      </c>
      <c r="O1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5" s="17" t="s">
        <v>590</v>
      </c>
      <c r="Q15" s="20" t="s">
        <v>596</v>
      </c>
      <c r="R15" s="20" t="s">
        <v>362</v>
      </c>
      <c r="S15" s="37" t="s">
        <v>362</v>
      </c>
      <c r="T15" s="37" t="s">
        <v>362</v>
      </c>
      <c r="U15" s="37" t="s">
        <v>362</v>
      </c>
      <c r="V15" s="20" t="s">
        <v>362</v>
      </c>
      <c r="W15" s="20" t="s">
        <v>362</v>
      </c>
      <c r="X15" s="20" t="s">
        <v>362</v>
      </c>
      <c r="Y15" s="20" t="s">
        <v>362</v>
      </c>
      <c r="Z15" s="37" t="s">
        <v>362</v>
      </c>
      <c r="AA15" s="37" t="s">
        <v>362</v>
      </c>
      <c r="AB15" s="17" t="s">
        <v>597</v>
      </c>
    </row>
    <row r="16" spans="1:28">
      <c r="A16" s="21" t="s">
        <v>390</v>
      </c>
      <c r="B16" s="21" t="s">
        <v>390</v>
      </c>
      <c r="C16" s="19" t="s">
        <v>390</v>
      </c>
      <c r="D16" s="17" t="str" cm="1">
        <f t="array" aca="1" ref="D16" ca="1">_xlfn.LET(_xlpm.value, _xlfn.XLOOKUP(Growing[[#This Row],[Seed Cup]], Cups[Id], Cups[Seed]), IF(_xlpm.value="", "", _xlpm.value))</f>
        <v>3057JP.65</v>
      </c>
      <c r="E16" s="17" t="str" cm="1">
        <f t="array" aca="1" ref="E16" ca="1">_xlfn.LET(_xlpm.value, _xlfn.XLOOKUP(Growing[[#This Row],[Seed]], Seeds[Seed], Seeds[Common Name]), IFERROR(_xlpm.value, ""))</f>
        <v>Red Butter Lettuce</v>
      </c>
      <c r="F16" s="17" t="str">
        <f ca="1">IF(Growing[[#This Row],[Growing Jar]]="None", "None", IF(Growing[[#This Row],[Growing Jar]]="", "", _xlfn.XLOOKUP(Growing[[#This Row],[Growing Jar]],Jars!A:A,Jars!C:C)))</f>
        <v>Chop Chop Real Smooth</v>
      </c>
      <c r="G16" s="21" t="str" cm="1">
        <f t="array" aca="1" ref="G1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6" s="20" t="str" cm="1">
        <f t="array" aca="1" ref="H16" ca="1">_xlfn.LET(_xlpm.value, _xlfn.XLOOKUP(Growing[[#This Row],[Seed Cup]], Cups[Id], Cups[Date Seeded]), IF(_xlpm.value="", "", _xlpm.value))</f>
        <v>Unknown</v>
      </c>
      <c r="I1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6" s="20" t="s">
        <v>362</v>
      </c>
      <c r="L16" s="17" t="s">
        <v>362</v>
      </c>
      <c r="M16" s="20" t="s">
        <v>366</v>
      </c>
      <c r="N16" s="17" t="s">
        <v>16</v>
      </c>
      <c r="O1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6" s="21" t="s">
        <v>599</v>
      </c>
      <c r="Q16" s="17" t="s">
        <v>594</v>
      </c>
      <c r="R16" s="20" t="s">
        <v>362</v>
      </c>
      <c r="S16" s="38" t="s">
        <v>362</v>
      </c>
      <c r="T16" s="38" t="s">
        <v>362</v>
      </c>
      <c r="U16" s="38" t="s">
        <v>362</v>
      </c>
      <c r="V16" s="20" t="s">
        <v>362</v>
      </c>
      <c r="W16" s="20" t="s">
        <v>362</v>
      </c>
      <c r="X16" s="20" t="s">
        <v>362</v>
      </c>
      <c r="Y16" s="20" t="s">
        <v>362</v>
      </c>
      <c r="Z16" s="38" t="s">
        <v>362</v>
      </c>
      <c r="AA16" s="38" t="s">
        <v>362</v>
      </c>
      <c r="AB16" s="20" t="s">
        <v>595</v>
      </c>
    </row>
    <row r="17" spans="1:28">
      <c r="A17" s="21" t="s">
        <v>396</v>
      </c>
      <c r="B17" s="21" t="s">
        <v>396</v>
      </c>
      <c r="C17" s="19" t="s">
        <v>396</v>
      </c>
      <c r="D17" s="17" t="str" cm="1">
        <f t="array" aca="1" ref="D17" ca="1">_xlfn.LET(_xlpm.value, _xlfn.XLOOKUP(Growing[[#This Row],[Seed Cup]], Cups[Id], Cups[Seed]), IF(_xlpm.value="", "", _xlpm.value))</f>
        <v>3057JP.65</v>
      </c>
      <c r="E17" s="17" t="str" cm="1">
        <f t="array" aca="1" ref="E17" ca="1">_xlfn.LET(_xlpm.value, _xlfn.XLOOKUP(Growing[[#This Row],[Seed]], Seeds[Seed], Seeds[Common Name]), IFERROR(_xlpm.value, ""))</f>
        <v>Red Butter Lettuce</v>
      </c>
      <c r="F17" s="17" t="str">
        <f ca="1">IF(Growing[[#This Row],[Growing Jar]]="None", "None", IF(Growing[[#This Row],[Growing Jar]]="", "", _xlfn.XLOOKUP(Growing[[#This Row],[Growing Jar]],Jars!A:A,Jars!C:C)))</f>
        <v>Duck Duck Produce!</v>
      </c>
      <c r="G17" s="21" t="str" cm="1">
        <f t="array" aca="1" ref="G1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7" s="20" t="str" cm="1">
        <f t="array" aca="1" ref="H17" ca="1">_xlfn.LET(_xlpm.value, _xlfn.XLOOKUP(Growing[[#This Row],[Seed Cup]], Cups[Id], Cups[Date Seeded]), IF(_xlpm.value="", "", _xlpm.value))</f>
        <v>Unknown</v>
      </c>
      <c r="I1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7" s="20" t="s">
        <v>362</v>
      </c>
      <c r="L17" s="17" t="s">
        <v>362</v>
      </c>
      <c r="M17" s="20" t="s">
        <v>366</v>
      </c>
      <c r="N17" s="17" t="s">
        <v>16</v>
      </c>
      <c r="O1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7" s="21" t="s">
        <v>599</v>
      </c>
      <c r="Q17" s="17" t="s">
        <v>594</v>
      </c>
      <c r="R17" s="20" t="s">
        <v>362</v>
      </c>
      <c r="S17" s="37" t="s">
        <v>362</v>
      </c>
      <c r="T17" s="37" t="s">
        <v>362</v>
      </c>
      <c r="U17" s="37" t="s">
        <v>362</v>
      </c>
      <c r="V17" s="20" t="s">
        <v>362</v>
      </c>
      <c r="W17" s="20" t="s">
        <v>362</v>
      </c>
      <c r="X17" s="20" t="s">
        <v>362</v>
      </c>
      <c r="Y17" s="20" t="s">
        <v>362</v>
      </c>
      <c r="Z17" s="37" t="s">
        <v>362</v>
      </c>
      <c r="AA17" s="37" t="s">
        <v>362</v>
      </c>
      <c r="AB17" s="20" t="s">
        <v>595</v>
      </c>
    </row>
    <row r="18" spans="1:28">
      <c r="A18" s="21" t="s">
        <v>401</v>
      </c>
      <c r="B18" s="21" t="s">
        <v>401</v>
      </c>
      <c r="C18" s="19" t="s">
        <v>401</v>
      </c>
      <c r="D18" s="17" t="str" cm="1">
        <f t="array" aca="1" ref="D18" ca="1">_xlfn.LET(_xlpm.value, _xlfn.XLOOKUP(Growing[[#This Row],[Seed Cup]], Cups[Id], Cups[Seed]), IF(_xlpm.value="", "", _xlpm.value))</f>
        <v>3057JP.65</v>
      </c>
      <c r="E18" s="17" t="str" cm="1">
        <f t="array" aca="1" ref="E18" ca="1">_xlfn.LET(_xlpm.value, _xlfn.XLOOKUP(Growing[[#This Row],[Seed]], Seeds[Seed], Seeds[Common Name]), IFERROR(_xlpm.value, ""))</f>
        <v>Red Butter Lettuce</v>
      </c>
      <c r="F18" s="17" t="str">
        <f ca="1">IF(Growing[[#This Row],[Growing Jar]]="None", "None", IF(Growing[[#This Row],[Growing Jar]]="", "", _xlfn.XLOOKUP(Growing[[#This Row],[Growing Jar]],Jars!A:A,Jars!C:C)))</f>
        <v>Home Sill Home</v>
      </c>
      <c r="G18" s="21" t="str" cm="1">
        <f t="array" aca="1" ref="G1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8" s="20" t="str" cm="1">
        <f t="array" aca="1" ref="H18" ca="1">_xlfn.LET(_xlpm.value, _xlfn.XLOOKUP(Growing[[#This Row],[Seed Cup]], Cups[Id], Cups[Date Seeded]), IF(_xlpm.value="", "", _xlpm.value))</f>
        <v>Unknown</v>
      </c>
      <c r="I18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8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8" s="20" t="s">
        <v>362</v>
      </c>
      <c r="L18" s="17" t="s">
        <v>362</v>
      </c>
      <c r="M18" s="20" t="s">
        <v>366</v>
      </c>
      <c r="N18" s="17" t="s">
        <v>16</v>
      </c>
      <c r="O1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8" s="21" t="s">
        <v>602</v>
      </c>
      <c r="Q18" s="17" t="s">
        <v>594</v>
      </c>
      <c r="R18" s="20" t="s">
        <v>362</v>
      </c>
      <c r="S18" s="38" t="s">
        <v>362</v>
      </c>
      <c r="T18" s="38" t="s">
        <v>362</v>
      </c>
      <c r="U18" s="38" t="s">
        <v>362</v>
      </c>
      <c r="V18" s="20" t="s">
        <v>362</v>
      </c>
      <c r="W18" s="20" t="s">
        <v>362</v>
      </c>
      <c r="X18" s="20" t="s">
        <v>362</v>
      </c>
      <c r="Y18" s="20" t="s">
        <v>362</v>
      </c>
      <c r="Z18" s="38" t="s">
        <v>362</v>
      </c>
      <c r="AA18" s="38" t="s">
        <v>362</v>
      </c>
      <c r="AB18" s="20" t="s">
        <v>604</v>
      </c>
    </row>
    <row r="19" spans="1:28">
      <c r="A19" s="21" t="s">
        <v>406</v>
      </c>
      <c r="B19" s="21" t="s">
        <v>406</v>
      </c>
      <c r="C19" s="19" t="s">
        <v>406</v>
      </c>
      <c r="D19" s="17" t="str" cm="1">
        <f t="array" aca="1" ref="D19" ca="1">_xlfn.LET(_xlpm.value, _xlfn.XLOOKUP(Growing[[#This Row],[Seed Cup]], Cups[Id], Cups[Seed]), IF(_xlpm.value="", "", _xlpm.value))</f>
        <v>3057JP.65</v>
      </c>
      <c r="E19" s="17" t="str" cm="1">
        <f t="array" aca="1" ref="E19" ca="1">_xlfn.LET(_xlpm.value, _xlfn.XLOOKUP(Growing[[#This Row],[Seed]], Seeds[Seed], Seeds[Common Name]), IFERROR(_xlpm.value, ""))</f>
        <v>Red Butter Lettuce</v>
      </c>
      <c r="F19" s="17" t="str">
        <f ca="1">IF(Growing[[#This Row],[Growing Jar]]="None", "None", IF(Growing[[#This Row],[Growing Jar]]="", "", _xlfn.XLOOKUP(Growing[[#This Row],[Growing Jar]],Jars!A:A,Jars!C:C)))</f>
        <v>Mr. Green, in the Hall, with the Jar (candlestick)</v>
      </c>
      <c r="G19" s="21" t="str" cm="1">
        <f t="array" aca="1" ref="G1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9" s="20" t="str" cm="1">
        <f t="array" aca="1" ref="H19" ca="1">_xlfn.LET(_xlpm.value, _xlfn.XLOOKUP(Growing[[#This Row],[Seed Cup]], Cups[Id], Cups[Date Seeded]), IF(_xlpm.value="", "", _xlpm.value))</f>
        <v>Unknown</v>
      </c>
      <c r="I19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9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9" s="20" t="s">
        <v>362</v>
      </c>
      <c r="L19" s="17" t="s">
        <v>362</v>
      </c>
      <c r="M19" s="20" t="s">
        <v>366</v>
      </c>
      <c r="N19" s="17" t="s">
        <v>16</v>
      </c>
      <c r="O1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9" s="21" t="s">
        <v>599</v>
      </c>
      <c r="Q19" s="17" t="s">
        <v>594</v>
      </c>
      <c r="R19" s="20" t="s">
        <v>362</v>
      </c>
      <c r="S19" s="37" t="s">
        <v>362</v>
      </c>
      <c r="T19" s="37" t="s">
        <v>362</v>
      </c>
      <c r="U19" s="37" t="s">
        <v>362</v>
      </c>
      <c r="V19" s="20" t="s">
        <v>362</v>
      </c>
      <c r="W19" s="20" t="s">
        <v>362</v>
      </c>
      <c r="X19" s="20" t="s">
        <v>362</v>
      </c>
      <c r="Y19" s="20" t="s">
        <v>362</v>
      </c>
      <c r="Z19" s="37" t="s">
        <v>362</v>
      </c>
      <c r="AA19" s="37" t="s">
        <v>362</v>
      </c>
      <c r="AB19" s="17" t="s">
        <v>595</v>
      </c>
    </row>
    <row r="20" spans="1:28">
      <c r="A20" s="21" t="s">
        <v>320</v>
      </c>
      <c r="B20" s="21" t="s">
        <v>320</v>
      </c>
      <c r="C20" s="19" t="s">
        <v>320</v>
      </c>
      <c r="D20" s="17" t="str" cm="1">
        <f t="array" aca="1" ref="D20" ca="1">_xlfn.LET(_xlpm.value, _xlfn.XLOOKUP(Growing[[#This Row],[Seed Cup]], Cups[Id], Cups[Seed]), IF(_xlpm.value="", "", _xlpm.value))</f>
        <v>3057JP.65</v>
      </c>
      <c r="E20" s="17" t="str" cm="1">
        <f t="array" aca="1" ref="E20" ca="1">_xlfn.LET(_xlpm.value, _xlfn.XLOOKUP(Growing[[#This Row],[Seed]], Seeds[Seed], Seeds[Common Name]), IFERROR(_xlpm.value, ""))</f>
        <v>Red Butter Lettuce</v>
      </c>
      <c r="F20" s="17" t="str">
        <f ca="1">IF(Growing[[#This Row],[Growing Jar]]="None", "None", IF(Growing[[#This Row],[Growing Jar]]="", "", _xlfn.XLOOKUP(Growing[[#This Row],[Growing Jar]],Jars!A:A,Jars!C:C)))</f>
        <v>These are a few of my favorite things</v>
      </c>
      <c r="G20" s="21" t="str" cm="1">
        <f t="array" aca="1" ref="G2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0" s="20" t="str" cm="1">
        <f t="array" aca="1" ref="H20" ca="1">_xlfn.LET(_xlpm.value, _xlfn.XLOOKUP(Growing[[#This Row],[Seed Cup]], Cups[Id], Cups[Date Seeded]), IF(_xlpm.value="", "", _xlpm.value))</f>
        <v>Unknown</v>
      </c>
      <c r="I20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0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0" s="20" t="s">
        <v>362</v>
      </c>
      <c r="L20" s="17" t="s">
        <v>362</v>
      </c>
      <c r="M20" s="20" t="s">
        <v>366</v>
      </c>
      <c r="N20" s="17" t="s">
        <v>16</v>
      </c>
      <c r="O2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0" s="21" t="s">
        <v>608</v>
      </c>
      <c r="Q20" s="17" t="s">
        <v>594</v>
      </c>
      <c r="R20" s="20" t="s">
        <v>362</v>
      </c>
      <c r="S20" s="38" t="s">
        <v>362</v>
      </c>
      <c r="T20" s="38" t="s">
        <v>362</v>
      </c>
      <c r="U20" s="38" t="s">
        <v>362</v>
      </c>
      <c r="V20" s="20" t="s">
        <v>362</v>
      </c>
      <c r="W20" s="20" t="s">
        <v>553</v>
      </c>
      <c r="X20" s="20" t="s">
        <v>542</v>
      </c>
      <c r="Y20" s="20" t="s">
        <v>550</v>
      </c>
      <c r="Z20" s="38" t="s">
        <v>362</v>
      </c>
      <c r="AA20" s="38" t="s">
        <v>362</v>
      </c>
    </row>
    <row r="21" spans="1:28">
      <c r="A21" s="21" t="s">
        <v>416</v>
      </c>
      <c r="B21" s="21" t="s">
        <v>416</v>
      </c>
      <c r="C21" s="19" t="s">
        <v>416</v>
      </c>
      <c r="D21" s="17" t="str" cm="1">
        <f t="array" aca="1" ref="D21" ca="1">_xlfn.LET(_xlpm.value, _xlfn.XLOOKUP(Growing[[#This Row],[Seed Cup]], Cups[Id], Cups[Seed]), IF(_xlpm.value="", "", _xlpm.value))</f>
        <v>3057JP.65</v>
      </c>
      <c r="E21" s="17" t="str" cm="1">
        <f t="array" aca="1" ref="E21" ca="1">_xlfn.LET(_xlpm.value, _xlfn.XLOOKUP(Growing[[#This Row],[Seed]], Seeds[Seed], Seeds[Common Name]), IFERROR(_xlpm.value, ""))</f>
        <v>Red Butter Lettuce</v>
      </c>
      <c r="F21" s="17" t="str">
        <f ca="1">IF(Growing[[#This Row],[Growing Jar]]="None", "None", IF(Growing[[#This Row],[Growing Jar]]="", "", _xlfn.XLOOKUP(Growing[[#This Row],[Growing Jar]],Jars!A:A,Jars!C:C)))</f>
        <v>You're the Best! A Crown!</v>
      </c>
      <c r="G21" s="21" t="str" cm="1">
        <f t="array" aca="1" ref="G2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1" s="20" t="str" cm="1">
        <f t="array" aca="1" ref="H21" ca="1">_xlfn.LET(_xlpm.value, _xlfn.XLOOKUP(Growing[[#This Row],[Seed Cup]], Cups[Id], Cups[Date Seeded]), IF(_xlpm.value="", "", _xlpm.value))</f>
        <v>Unknown</v>
      </c>
      <c r="I21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1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1" s="20" t="s">
        <v>362</v>
      </c>
      <c r="L21" s="17" t="s">
        <v>362</v>
      </c>
      <c r="M21" s="20" t="s">
        <v>366</v>
      </c>
      <c r="N21" s="17" t="s">
        <v>16</v>
      </c>
      <c r="O2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1" s="21" t="s">
        <v>602</v>
      </c>
      <c r="Q21" s="17" t="s">
        <v>594</v>
      </c>
      <c r="R21" s="20" t="s">
        <v>362</v>
      </c>
      <c r="S21" s="37" t="s">
        <v>362</v>
      </c>
      <c r="T21" s="37" t="s">
        <v>362</v>
      </c>
      <c r="U21" s="37" t="s">
        <v>362</v>
      </c>
      <c r="V21" s="20" t="s">
        <v>362</v>
      </c>
      <c r="W21" s="20" t="s">
        <v>362</v>
      </c>
      <c r="X21" s="20" t="s">
        <v>362</v>
      </c>
      <c r="Y21" s="20" t="s">
        <v>362</v>
      </c>
      <c r="Z21" s="37" t="s">
        <v>362</v>
      </c>
      <c r="AA21" s="37" t="s">
        <v>362</v>
      </c>
      <c r="AB21" s="20" t="s">
        <v>604</v>
      </c>
    </row>
    <row r="22" spans="1:28">
      <c r="A22" s="21" t="s">
        <v>420</v>
      </c>
      <c r="B22" s="21" t="s">
        <v>420</v>
      </c>
      <c r="C22" s="19" t="s">
        <v>420</v>
      </c>
      <c r="D22" s="20" t="str" cm="1">
        <f t="array" aca="1" ref="D22" ca="1">_xlfn.LET(_xlpm.value, _xlfn.XLOOKUP(Growing[[#This Row],[Seed Cup]], Cups[Id], Cups[Seed]), IF(_xlpm.value="", "", _xlpm.value))</f>
        <v>3057JP.65</v>
      </c>
      <c r="E22" s="20" t="str" cm="1">
        <f t="array" aca="1" ref="E22" ca="1">_xlfn.LET(_xlpm.value, _xlfn.XLOOKUP(Growing[[#This Row],[Seed]], Seeds[Seed], Seeds[Common Name]), IFERROR(_xlpm.value, ""))</f>
        <v>Red Butter Lettuce</v>
      </c>
      <c r="F22" s="17" t="str">
        <f ca="1">IF(Growing[[#This Row],[Growing Jar]]="None", "None", IF(Growing[[#This Row],[Growing Jar]]="", "", _xlfn.XLOOKUP(Growing[[#This Row],[Growing Jar]],Jars!A:A,Jars!C:C)))</f>
        <v>Breakfast and Move Things</v>
      </c>
      <c r="G22" s="21" t="str" cm="1">
        <f t="array" aca="1" ref="G2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2" s="20" t="str" cm="1">
        <f t="array" aca="1" ref="H22" ca="1">_xlfn.LET(_xlpm.value, _xlfn.XLOOKUP(Growing[[#This Row],[Seed Cup]], Cups[Id], Cups[Date Seeded]), IF(_xlpm.value="", "", _xlpm.value))</f>
        <v>Unknown</v>
      </c>
      <c r="I2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2" s="20" t="s">
        <v>362</v>
      </c>
      <c r="L22" s="17" t="s">
        <v>362</v>
      </c>
      <c r="M22" s="20" t="s">
        <v>366</v>
      </c>
      <c r="N22" s="17" t="s">
        <v>16</v>
      </c>
      <c r="O2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2" s="21" t="s">
        <v>608</v>
      </c>
      <c r="Q22" s="17" t="s">
        <v>594</v>
      </c>
      <c r="R22" s="20" t="s">
        <v>362</v>
      </c>
      <c r="S22" s="38" t="s">
        <v>362</v>
      </c>
      <c r="T22" s="38" t="s">
        <v>362</v>
      </c>
      <c r="U22" s="38" t="s">
        <v>362</v>
      </c>
      <c r="V22" s="20" t="s">
        <v>362</v>
      </c>
      <c r="W22" s="20" t="s">
        <v>553</v>
      </c>
      <c r="X22" s="20" t="s">
        <v>542</v>
      </c>
      <c r="Y22" s="20" t="s">
        <v>547</v>
      </c>
      <c r="Z22" s="38" t="s">
        <v>362</v>
      </c>
      <c r="AA22" s="38" t="s">
        <v>362</v>
      </c>
    </row>
    <row r="23" spans="1:28">
      <c r="A23" s="21" t="s">
        <v>424</v>
      </c>
      <c r="B23" s="21" t="s">
        <v>424</v>
      </c>
      <c r="C23" s="19" t="s">
        <v>424</v>
      </c>
      <c r="D23" s="20" t="str" cm="1">
        <f t="array" aca="1" ref="D23" ca="1">_xlfn.LET(_xlpm.value, _xlfn.XLOOKUP(Growing[[#This Row],[Seed Cup]], Cups[Id], Cups[Seed]), IF(_xlpm.value="", "", _xlpm.value))</f>
        <v>3057JP.65</v>
      </c>
      <c r="E23" s="20" t="str" cm="1">
        <f t="array" aca="1" ref="E23" ca="1">_xlfn.LET(_xlpm.value, _xlfn.XLOOKUP(Growing[[#This Row],[Seed]], Seeds[Seed], Seeds[Common Name]), IFERROR(_xlpm.value, ""))</f>
        <v>Red Butter Lettuce</v>
      </c>
      <c r="F23" s="17" t="str">
        <f ca="1">IF(Growing[[#This Row],[Growing Jar]]="None", "None", IF(Growing[[#This Row],[Growing Jar]]="", "", _xlfn.XLOOKUP(Growing[[#This Row],[Growing Jar]],Jars!A:A,Jars!C:C)))</f>
        <v>Dancing on my Shelf</v>
      </c>
      <c r="G23" s="21" t="str" cm="1">
        <f t="array" aca="1" ref="G2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3" s="20" t="str" cm="1">
        <f t="array" aca="1" ref="H23" ca="1">_xlfn.LET(_xlpm.value, _xlfn.XLOOKUP(Growing[[#This Row],[Seed Cup]], Cups[Id], Cups[Date Seeded]), IF(_xlpm.value="", "", _xlpm.value))</f>
        <v>Unknown</v>
      </c>
      <c r="I2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3" s="20" t="s">
        <v>362</v>
      </c>
      <c r="L23" s="17" t="s">
        <v>362</v>
      </c>
      <c r="M23" s="20" t="s">
        <v>366</v>
      </c>
      <c r="N23" s="17" t="s">
        <v>16</v>
      </c>
      <c r="O2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3" s="21" t="s">
        <v>602</v>
      </c>
      <c r="Q23" s="17" t="s">
        <v>594</v>
      </c>
      <c r="R23" s="20" t="s">
        <v>362</v>
      </c>
      <c r="S23" s="37" t="s">
        <v>362</v>
      </c>
      <c r="T23" s="37" t="s">
        <v>362</v>
      </c>
      <c r="U23" s="37" t="s">
        <v>362</v>
      </c>
      <c r="V23" s="20" t="s">
        <v>362</v>
      </c>
      <c r="W23" s="20" t="s">
        <v>362</v>
      </c>
      <c r="X23" s="20" t="s">
        <v>362</v>
      </c>
      <c r="Y23" s="20" t="s">
        <v>362</v>
      </c>
      <c r="Z23" s="37" t="s">
        <v>362</v>
      </c>
      <c r="AA23" s="37" t="s">
        <v>362</v>
      </c>
      <c r="AB23" s="20" t="s">
        <v>604</v>
      </c>
    </row>
    <row r="24" spans="1:28">
      <c r="A24" s="21" t="s">
        <v>429</v>
      </c>
      <c r="B24" s="21" t="s">
        <v>429</v>
      </c>
      <c r="C24" s="19" t="s">
        <v>429</v>
      </c>
      <c r="D24" s="17" t="str" cm="1">
        <f t="array" aca="1" ref="D24" ca="1">_xlfn.LET(_xlpm.value, _xlfn.XLOOKUP(Growing[[#This Row],[Seed Cup]], Cups[Id], Cups[Seed]), IF(_xlpm.value="", "", _xlpm.value))</f>
        <v>3059JP.65</v>
      </c>
      <c r="E24" s="17" t="str" cm="1">
        <f t="array" aca="1" ref="E24" ca="1">_xlfn.LET(_xlpm.value, _xlfn.XLOOKUP(Growing[[#This Row],[Seed]], Seeds[Seed], Seeds[Common Name]), IFERROR(_xlpm.value, ""))</f>
        <v>Red Oakleaf Lettuce</v>
      </c>
      <c r="F24" s="17" t="str">
        <f ca="1">IF(Growing[[#This Row],[Growing Jar]]="None", "None", IF(Growing[[#This Row],[Growing Jar]]="", "", _xlfn.XLOOKUP(Growing[[#This Row],[Growing Jar]],Jars!A:A,Jars!C:C)))</f>
        <v>Look Out and-Grow!</v>
      </c>
      <c r="G24" s="21" t="str" cm="1">
        <f t="array" aca="1" ref="G2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4" s="20" t="str" cm="1">
        <f t="array" aca="1" ref="H24" ca="1">_xlfn.LET(_xlpm.value, _xlfn.XLOOKUP(Growing[[#This Row],[Seed Cup]], Cups[Id], Cups[Date Seeded]), IF(_xlpm.value="", "", _xlpm.value))</f>
        <v>Unknown</v>
      </c>
      <c r="I2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4" s="20" t="s">
        <v>362</v>
      </c>
      <c r="L24" s="17" t="s">
        <v>362</v>
      </c>
      <c r="M24" s="20" t="s">
        <v>366</v>
      </c>
      <c r="N24" s="17" t="s">
        <v>16</v>
      </c>
      <c r="O2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4" s="21" t="s">
        <v>602</v>
      </c>
      <c r="Q24" s="17" t="s">
        <v>594</v>
      </c>
      <c r="R24" s="20" t="s">
        <v>362</v>
      </c>
      <c r="S24" s="38" t="s">
        <v>362</v>
      </c>
      <c r="T24" s="38" t="s">
        <v>362</v>
      </c>
      <c r="U24" s="38" t="s">
        <v>362</v>
      </c>
      <c r="V24" s="20" t="s">
        <v>362</v>
      </c>
      <c r="W24" s="20" t="s">
        <v>362</v>
      </c>
      <c r="X24" s="20" t="s">
        <v>362</v>
      </c>
      <c r="Y24" s="20" t="s">
        <v>362</v>
      </c>
      <c r="Z24" s="38" t="s">
        <v>362</v>
      </c>
      <c r="AA24" s="38" t="s">
        <v>362</v>
      </c>
      <c r="AB24" s="20" t="s">
        <v>604</v>
      </c>
    </row>
    <row r="25" spans="1:28">
      <c r="A25" s="21" t="s">
        <v>434</v>
      </c>
      <c r="B25" s="21" t="s">
        <v>434</v>
      </c>
      <c r="C25" s="19" t="s">
        <v>434</v>
      </c>
      <c r="D25" s="17" t="str" cm="1">
        <f t="array" aca="1" ref="D25" ca="1">_xlfn.LET(_xlpm.value, _xlfn.XLOOKUP(Growing[[#This Row],[Seed Cup]], Cups[Id], Cups[Seed]), IF(_xlpm.value="", "", _xlpm.value))</f>
        <v>2178GP.53</v>
      </c>
      <c r="E25" s="17" t="str" cm="1">
        <f t="array" aca="1" ref="E25" ca="1">_xlfn.LET(_xlpm.value, _xlfn.XLOOKUP(Growing[[#This Row],[Seed]], Seeds[Seed], Seeds[Common Name]), IFERROR(_xlpm.value, ""))</f>
        <v>Nufar Basil</v>
      </c>
      <c r="F25" s="17" t="str">
        <f ca="1">IF(Growing[[#This Row],[Growing Jar]]="None", "None", IF(Growing[[#This Row],[Growing Jar]]="", "", _xlfn.XLOOKUP(Growing[[#This Row],[Growing Jar]],Jars!A:A,Jars!C:C)))</f>
        <v>Green Queen</v>
      </c>
      <c r="G25" s="21" t="str" cm="1">
        <f t="array" aca="1" ref="G2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5" s="20" t="str" cm="1">
        <f t="array" aca="1" ref="H25" ca="1">_xlfn.LET(_xlpm.value, _xlfn.XLOOKUP(Growing[[#This Row],[Seed Cup]], Cups[Id], Cups[Date Seeded]), IF(_xlpm.value="", "", _xlpm.value))</f>
        <v>Unknown</v>
      </c>
      <c r="I2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5" s="20" t="s">
        <v>362</v>
      </c>
      <c r="L25" s="17" t="s">
        <v>362</v>
      </c>
      <c r="M25" s="20" t="s">
        <v>366</v>
      </c>
      <c r="N25" s="17" t="s">
        <v>16</v>
      </c>
      <c r="O2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5" s="20" t="s">
        <v>614</v>
      </c>
      <c r="Q25" s="20" t="s">
        <v>615</v>
      </c>
      <c r="R25" s="20" t="s">
        <v>366</v>
      </c>
      <c r="S25" s="37" t="s">
        <v>362</v>
      </c>
      <c r="T25" s="37" t="s">
        <v>362</v>
      </c>
      <c r="U25" s="37" t="s">
        <v>362</v>
      </c>
      <c r="V25" s="20" t="s">
        <v>366</v>
      </c>
      <c r="W25" s="20" t="s">
        <v>362</v>
      </c>
      <c r="X25" s="20" t="s">
        <v>362</v>
      </c>
      <c r="Y25" s="20" t="s">
        <v>362</v>
      </c>
      <c r="Z25" s="37" t="s">
        <v>362</v>
      </c>
      <c r="AA25" s="37" t="s">
        <v>362</v>
      </c>
      <c r="AB25" s="17" t="s">
        <v>694</v>
      </c>
    </row>
    <row r="26" spans="1:28">
      <c r="A26" s="21" t="s">
        <v>438</v>
      </c>
      <c r="B26" s="21" t="s">
        <v>438</v>
      </c>
      <c r="C26" s="19" t="s">
        <v>438</v>
      </c>
      <c r="D26" s="17" t="str" cm="1">
        <f t="array" aca="1" ref="D26" ca="1">_xlfn.LET(_xlpm.value, _xlfn.XLOOKUP(Growing[[#This Row],[Seed Cup]], Cups[Id], Cups[Seed]), IF(_xlpm.value="", "", _xlpm.value))</f>
        <v>2178GP.53</v>
      </c>
      <c r="E26" s="17" t="str" cm="1">
        <f t="array" aca="1" ref="E26" ca="1">_xlfn.LET(_xlpm.value, _xlfn.XLOOKUP(Growing[[#This Row],[Seed]], Seeds[Seed], Seeds[Common Name]), IFERROR(_xlpm.value, ""))</f>
        <v>Nufar Basil</v>
      </c>
      <c r="F26" s="17" t="str">
        <f ca="1">IF(Growing[[#This Row],[Growing Jar]]="None", "None", IF(Growing[[#This Row],[Growing Jar]]="", "", _xlfn.XLOOKUP(Growing[[#This Row],[Growing Jar]],Jars!A:A,Jars!C:C)))</f>
        <v>My Cat Ate My Lettuce</v>
      </c>
      <c r="G26" s="21" t="str" cm="1">
        <f t="array" aca="1" ref="G2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6" s="20" t="str" cm="1">
        <f t="array" aca="1" ref="H26" ca="1">_xlfn.LET(_xlpm.value, _xlfn.XLOOKUP(Growing[[#This Row],[Seed Cup]], Cups[Id], Cups[Date Seeded]), IF(_xlpm.value="", "", _xlpm.value))</f>
        <v>Unknown</v>
      </c>
      <c r="I2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6" s="20" t="s">
        <v>362</v>
      </c>
      <c r="L26" s="17" t="s">
        <v>362</v>
      </c>
      <c r="M26" s="20" t="s">
        <v>366</v>
      </c>
      <c r="N26" s="17" t="s">
        <v>16</v>
      </c>
      <c r="O2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6" s="21" t="s">
        <v>602</v>
      </c>
      <c r="Q26" s="17" t="s">
        <v>594</v>
      </c>
      <c r="R26" s="20" t="s">
        <v>362</v>
      </c>
      <c r="S26" s="38" t="s">
        <v>362</v>
      </c>
      <c r="T26" s="38" t="s">
        <v>362</v>
      </c>
      <c r="U26" s="38" t="s">
        <v>362</v>
      </c>
      <c r="V26" s="20" t="s">
        <v>362</v>
      </c>
      <c r="W26" s="20" t="s">
        <v>362</v>
      </c>
      <c r="X26" s="20" t="s">
        <v>362</v>
      </c>
      <c r="Y26" s="20" t="s">
        <v>362</v>
      </c>
      <c r="Z26" s="38" t="s">
        <v>362</v>
      </c>
      <c r="AA26" s="38" t="s">
        <v>362</v>
      </c>
      <c r="AB26" s="17" t="s">
        <v>604</v>
      </c>
    </row>
    <row r="27" spans="1:28">
      <c r="A27" s="21" t="s">
        <v>442</v>
      </c>
      <c r="B27" s="21" t="s">
        <v>442</v>
      </c>
      <c r="C27" s="19" t="s">
        <v>442</v>
      </c>
      <c r="D27" s="17" t="str" cm="1">
        <f t="array" aca="1" ref="D27" ca="1">_xlfn.LET(_xlpm.value, _xlfn.XLOOKUP(Growing[[#This Row],[Seed Cup]], Cups[Id], Cups[Seed]), IF(_xlpm.value="", "", _xlpm.value))</f>
        <v>2178GP.53</v>
      </c>
      <c r="E27" s="17" t="str" cm="1">
        <f t="array" aca="1" ref="E27" ca="1">_xlfn.LET(_xlpm.value, _xlfn.XLOOKUP(Growing[[#This Row],[Seed]], Seeds[Seed], Seeds[Common Name]), IFERROR(_xlpm.value, ""))</f>
        <v>Nufar Basil</v>
      </c>
      <c r="F27" s="17" t="str">
        <f ca="1">IF(Growing[[#This Row],[Growing Jar]]="None", "None", IF(Growing[[#This Row],[Growing Jar]]="", "", _xlfn.XLOOKUP(Growing[[#This Row],[Growing Jar]],Jars!A:A,Jars!C:C)))</f>
        <v>Buddy</v>
      </c>
      <c r="G27" s="21" t="str" cm="1">
        <f t="array" aca="1" ref="G2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7" s="20" t="str" cm="1">
        <f t="array" aca="1" ref="H27" ca="1">_xlfn.LET(_xlpm.value, _xlfn.XLOOKUP(Growing[[#This Row],[Seed Cup]], Cups[Id], Cups[Date Seeded]), IF(_xlpm.value="", "", _xlpm.value))</f>
        <v>Unknown</v>
      </c>
      <c r="I2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7" s="20" t="s">
        <v>362</v>
      </c>
      <c r="L27" s="17" t="s">
        <v>362</v>
      </c>
      <c r="M27" s="20" t="s">
        <v>366</v>
      </c>
      <c r="N27" s="17" t="s">
        <v>16</v>
      </c>
      <c r="O2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7" s="19" t="s">
        <v>614</v>
      </c>
      <c r="Q27" s="20" t="s">
        <v>615</v>
      </c>
      <c r="R27" s="20" t="s">
        <v>366</v>
      </c>
      <c r="S27" s="37" t="s">
        <v>362</v>
      </c>
      <c r="T27" s="37" t="s">
        <v>362</v>
      </c>
      <c r="U27" s="37" t="s">
        <v>362</v>
      </c>
      <c r="V27" s="20" t="s">
        <v>366</v>
      </c>
      <c r="W27" s="20" t="s">
        <v>362</v>
      </c>
      <c r="X27" s="20" t="s">
        <v>362</v>
      </c>
      <c r="Y27" s="20" t="s">
        <v>362</v>
      </c>
      <c r="Z27" s="37" t="s">
        <v>362</v>
      </c>
      <c r="AA27" s="37" t="s">
        <v>362</v>
      </c>
    </row>
    <row r="28" spans="1:28">
      <c r="A28" s="21" t="s">
        <v>468</v>
      </c>
      <c r="B28" s="21" t="s">
        <v>468</v>
      </c>
      <c r="C28" s="19" t="s">
        <v>448</v>
      </c>
      <c r="D28" s="17" t="str" cm="1">
        <f t="array" aca="1" ref="D28" ca="1">_xlfn.LET(_xlpm.value, _xlfn.XLOOKUP(Growing[[#This Row],[Seed Cup]], Cups[Id], Cups[Seed]), IF(_xlpm.value="", "", _xlpm.value))</f>
        <v>2178GP.53</v>
      </c>
      <c r="E28" s="17" t="str" cm="1">
        <f t="array" aca="1" ref="E28" ca="1">_xlfn.LET(_xlpm.value, _xlfn.XLOOKUP(Growing[[#This Row],[Seed]], Seeds[Seed], Seeds[Common Name]), IFERROR(_xlpm.value, ""))</f>
        <v>Nufar Basil</v>
      </c>
      <c r="F28" s="17" t="str">
        <f ca="1">IF(Growing[[#This Row],[Growing Jar]]="None", "None", IF(Growing[[#This Row],[Growing Jar]]="", "", _xlfn.XLOOKUP(Growing[[#This Row],[Growing Jar]],Jars!A:A,Jars!C:C)))</f>
        <v>Duck</v>
      </c>
      <c r="G28" s="21" t="str" cm="1">
        <f t="array" aca="1" ref="G2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8" s="21" t="str" cm="1">
        <f t="array" aca="1" ref="H28" ca="1">_xlfn.LET(_xlpm.value, _xlfn.XLOOKUP(Growing[[#This Row],[Seed Cup]], Cups[Id], Cups[Date Seeded]), IF(_xlpm.value="", "", _xlpm.value))</f>
        <v>2026-08-28</v>
      </c>
      <c r="I28" s="21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8" s="21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8" s="21" t="s">
        <v>620</v>
      </c>
      <c r="L28" s="17" t="s">
        <v>362</v>
      </c>
      <c r="M28" s="20" t="s">
        <v>366</v>
      </c>
      <c r="N28" s="17" t="s">
        <v>16</v>
      </c>
      <c r="O2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8" s="39"/>
      <c r="T28" s="39"/>
      <c r="U28" s="39"/>
      <c r="Z28" s="39"/>
      <c r="AA28" s="39"/>
    </row>
    <row r="29" spans="1:28">
      <c r="A29" s="19" t="s">
        <v>472</v>
      </c>
      <c r="B29" s="19" t="s">
        <v>448</v>
      </c>
      <c r="C29" s="19" t="s">
        <v>455</v>
      </c>
      <c r="D29" s="17" t="str" cm="1">
        <f t="array" aca="1" ref="D29" ca="1">_xlfn.LET(_xlpm.value, _xlfn.XLOOKUP(Growing[[#This Row],[Seed Cup]], Cups[Id], Cups[Seed]), IF(_xlpm.value="", "", _xlpm.value))</f>
        <v>2178GP.53</v>
      </c>
      <c r="E29" s="17" t="str" cm="1">
        <f t="array" aca="1" ref="E29" ca="1">_xlfn.LET(_xlpm.value, _xlfn.XLOOKUP(Growing[[#This Row],[Seed]], Seeds[Seed], Seeds[Common Name]), IFERROR(_xlpm.value, ""))</f>
        <v>Nufar Basil</v>
      </c>
      <c r="F29" s="17" t="str">
        <f ca="1">IF(Growing[[#This Row],[Growing Jar]]="None", "None", IF(Growing[[#This Row],[Growing Jar]]="", "", _xlfn.XLOOKUP(Growing[[#This Row],[Growing Jar]],Jars!A:A,Jars!C:C)))</f>
        <v>Goose</v>
      </c>
      <c r="G29" s="19" t="str" cm="1">
        <f t="array" aca="1" ref="G2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9" s="19" t="str" cm="1">
        <f t="array" aca="1" ref="H29" ca="1">_xlfn.LET(_xlpm.value, _xlfn.XLOOKUP(Growing[[#This Row],[Seed Cup]], Cups[Id], Cups[Date Seeded]), IF(_xlpm.value="", "", _xlpm.value))</f>
        <v>2026-08-28</v>
      </c>
      <c r="I29" s="19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9" s="19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9" s="21" t="s">
        <v>620</v>
      </c>
      <c r="L29" s="17" t="s">
        <v>362</v>
      </c>
      <c r="M29" s="21" t="s">
        <v>621</v>
      </c>
      <c r="N29" s="17" t="s">
        <v>16</v>
      </c>
      <c r="O2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9" s="40"/>
      <c r="T29" s="40"/>
      <c r="U29" s="40"/>
      <c r="Z29" s="40"/>
      <c r="AA29" s="40"/>
    </row>
    <row r="30" spans="1:28">
      <c r="A30" s="19" t="s">
        <v>150</v>
      </c>
      <c r="B30" s="19" t="s">
        <v>486</v>
      </c>
      <c r="C30" s="19" t="s">
        <v>460</v>
      </c>
      <c r="D30" s="17" t="str" cm="1">
        <f t="array" aca="1" ref="D30" ca="1">_xlfn.LET(_xlpm.value, _xlfn.XLOOKUP(Growing[[#This Row],[Seed Cup]], Cups[Id], Cups[Seed]), IF(_xlpm.value="", "", _xlpm.value))</f>
        <v>2178GP.53</v>
      </c>
      <c r="E30" s="17" t="str" cm="1">
        <f t="array" aca="1" ref="E30" ca="1">_xlfn.LET(_xlpm.value, _xlfn.XLOOKUP(Growing[[#This Row],[Seed]], Seeds[Seed], Seeds[Common Name]), IFERROR(_xlpm.value, ""))</f>
        <v>Nufar Basil</v>
      </c>
      <c r="F30" s="17" t="str">
        <f ca="1">IF(Growing[[#This Row],[Growing Jar]]="None", "None", IF(Growing[[#This Row],[Growing Jar]]="", "", _xlfn.XLOOKUP(Growing[[#This Row],[Growing Jar]],Jars!A:A,Jars!C:C)))</f>
        <v>Duck</v>
      </c>
      <c r="G30" s="19" t="str" cm="1">
        <f t="array" aca="1" ref="G3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0" s="17" t="str" cm="1">
        <f t="array" aca="1" ref="H30" ca="1">_xlfn.LET(_xlpm.value, _xlfn.XLOOKUP(Growing[[#This Row],[Seed Cup]], Cups[Id], Cups[Date Seeded]), IF(_xlpm.value="", "", _xlpm.value))</f>
        <v>2026-09-01</v>
      </c>
      <c r="I3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2026-09-06</v>
      </c>
      <c r="J3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2026-09-11</v>
      </c>
      <c r="K30" s="21" t="s">
        <v>623</v>
      </c>
      <c r="L30" s="17" t="s">
        <v>362</v>
      </c>
      <c r="M30" s="21" t="s">
        <v>505</v>
      </c>
      <c r="N30" s="17" t="s">
        <v>16</v>
      </c>
      <c r="O3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2026-11-19</v>
      </c>
      <c r="S30" s="39"/>
      <c r="T30" s="39"/>
      <c r="U30" s="39"/>
      <c r="Z30" s="39"/>
      <c r="AA30" s="39"/>
    </row>
    <row r="31" spans="1:28">
      <c r="A31" s="21" t="s">
        <v>478</v>
      </c>
      <c r="B31" s="19" t="s">
        <v>455</v>
      </c>
      <c r="C31" s="19" t="s">
        <v>464</v>
      </c>
      <c r="D31" s="17" t="str" cm="1">
        <f t="array" aca="1" ref="D31" ca="1">_xlfn.LET(_xlpm.value, _xlfn.XLOOKUP(Growing[[#This Row],[Seed Cup]], Cups[Id], Cups[Seed]), IF(_xlpm.value="", "", _xlpm.value))</f>
        <v>2178GP.53</v>
      </c>
      <c r="E31" s="17" t="str" cm="1">
        <f t="array" aca="1" ref="E31" ca="1">_xlfn.LET(_xlpm.value, _xlfn.XLOOKUP(Growing[[#This Row],[Seed]], Seeds[Seed], Seeds[Common Name]), IFERROR(_xlpm.value, ""))</f>
        <v>Nufar Basil</v>
      </c>
      <c r="F31" s="17" t="str">
        <f ca="1">IF(Growing[[#This Row],[Growing Jar]]="None", "None", IF(Growing[[#This Row],[Growing Jar]]="", "", _xlfn.XLOOKUP(Growing[[#This Row],[Growing Jar]],Jars!A:A,Jars!C:C)))</f>
        <v>Duck</v>
      </c>
      <c r="G31" s="19" t="str" cm="1">
        <f t="array" aca="1" ref="G3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1" s="19" t="str" cm="1">
        <f t="array" aca="1" ref="H31" ca="1">_xlfn.LET(_xlpm.value, _xlfn.XLOOKUP(Growing[[#This Row],[Seed Cup]], Cups[Id], Cups[Date Seeded]), IF(_xlpm.value="", "", _xlpm.value))</f>
        <v>2026-09-04</v>
      </c>
      <c r="I3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1" s="19" t="s">
        <v>621</v>
      </c>
      <c r="L31" s="17" t="s">
        <v>362</v>
      </c>
      <c r="M31" s="19" t="s">
        <v>624</v>
      </c>
      <c r="N31" s="17" t="s">
        <v>16</v>
      </c>
      <c r="O3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1" s="40"/>
      <c r="T31" s="40"/>
      <c r="U31" s="40"/>
      <c r="Z31" s="40"/>
      <c r="AA31" s="40"/>
    </row>
    <row r="32" spans="1:28">
      <c r="A32" s="19" t="s">
        <v>482</v>
      </c>
      <c r="B32" s="19" t="s">
        <v>482</v>
      </c>
      <c r="C32" s="19" t="s">
        <v>468</v>
      </c>
      <c r="D32" s="17" t="str" cm="1">
        <f t="array" aca="1" ref="D32" ca="1">_xlfn.LET(_xlpm.value, _xlfn.XLOOKUP(Growing[[#This Row],[Seed Cup]], Cups[Id], Cups[Seed]), IF(_xlpm.value="", "", _xlpm.value))</f>
        <v>2178GP.53</v>
      </c>
      <c r="E32" s="17" t="str" cm="1">
        <f t="array" aca="1" ref="E32" ca="1">_xlfn.LET(_xlpm.value, _xlfn.XLOOKUP(Growing[[#This Row],[Seed]], Seeds[Seed], Seeds[Common Name]), IFERROR(_xlpm.value, ""))</f>
        <v>Nufar Basil</v>
      </c>
      <c r="F32" s="17" t="str">
        <f ca="1">IF(Growing[[#This Row],[Growing Jar]]="None", "None", IF(Growing[[#This Row],[Growing Jar]]="", "", _xlfn.XLOOKUP(Growing[[#This Row],[Growing Jar]],Jars!A:A,Jars!C:C)))</f>
        <v>My Cat Ate My Lettuce</v>
      </c>
      <c r="G32" s="19" t="str" cm="1">
        <f t="array" aca="1" ref="G3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2" s="21" t="str" cm="1">
        <f t="array" aca="1" ref="H32" ca="1">_xlfn.LET(_xlpm.value, _xlfn.XLOOKUP(Growing[[#This Row],[Seed Cup]], Cups[Id], Cups[Date Seeded]), IF(_xlpm.value="", "", _xlpm.value))</f>
        <v>2026-09-04</v>
      </c>
      <c r="I3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2" s="21" t="s">
        <v>621</v>
      </c>
      <c r="L32" s="17" t="s">
        <v>362</v>
      </c>
      <c r="M32" s="20" t="s">
        <v>366</v>
      </c>
      <c r="N32" s="17" t="s">
        <v>16</v>
      </c>
      <c r="O3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2" s="39"/>
      <c r="T32" s="39"/>
      <c r="U32" s="39"/>
      <c r="Z32" s="39"/>
      <c r="AA32" s="39"/>
    </row>
    <row r="33" spans="1:27">
      <c r="A33" s="19" t="s">
        <v>625</v>
      </c>
      <c r="B33" s="17" t="s">
        <v>464</v>
      </c>
      <c r="C33" s="19" t="s">
        <v>472</v>
      </c>
      <c r="D33" s="17" t="str" cm="1">
        <f t="array" aca="1" ref="D33" ca="1">_xlfn.LET(_xlpm.value, _xlfn.XLOOKUP(Growing[[#This Row],[Seed Cup]], Cups[Id], Cups[Seed]), IF(_xlpm.value="", "", _xlpm.value))</f>
        <v>2178GP.53</v>
      </c>
      <c r="E33" s="17" t="str" cm="1">
        <f t="array" aca="1" ref="E33" ca="1">_xlfn.LET(_xlpm.value, _xlfn.XLOOKUP(Growing[[#This Row],[Seed]], Seeds[Seed], Seeds[Common Name]), IFERROR(_xlpm.value, ""))</f>
        <v>Nufar Basil</v>
      </c>
      <c r="F33" s="18" t="str">
        <f ca="1">IF(Growing[[#This Row],[Growing Jar]]="None", "None", IF(Growing[[#This Row],[Growing Jar]]="", "", _xlfn.XLOOKUP(Growing[[#This Row],[Growing Jar]],Jars!A:A,Jars!C:C)))</f>
        <v>Duck</v>
      </c>
      <c r="G33" s="17" t="str" cm="1">
        <f t="array" aca="1" ref="G3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3" s="19" t="str" cm="1">
        <f t="array" aca="1" ref="H33" ca="1">_xlfn.LET(_xlpm.value, _xlfn.XLOOKUP(Growing[[#This Row],[Seed Cup]], Cups[Id], Cups[Date Seeded]), IF(_xlpm.value="", "", _xlpm.value))</f>
        <v>2026-09-08</v>
      </c>
      <c r="I3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2026-09-13</v>
      </c>
      <c r="J3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2026-09-18</v>
      </c>
      <c r="K33" s="19" t="s">
        <v>624</v>
      </c>
      <c r="L33" s="19" t="s">
        <v>626</v>
      </c>
      <c r="M33" s="19" t="s">
        <v>627</v>
      </c>
      <c r="N33" s="17" t="s">
        <v>16</v>
      </c>
      <c r="O3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2026-11-27</v>
      </c>
      <c r="S33" s="40"/>
      <c r="T33" s="40"/>
      <c r="U33" s="40"/>
      <c r="Z33" s="40"/>
      <c r="AA33" s="40"/>
    </row>
    <row r="34" spans="1:27">
      <c r="A34" s="19" t="s">
        <v>504</v>
      </c>
      <c r="B34" s="17" t="s">
        <v>494</v>
      </c>
      <c r="C34" s="19" t="s">
        <v>150</v>
      </c>
      <c r="D34" s="17" t="str" cm="1">
        <f t="array" aca="1" ref="D34" ca="1">_xlfn.LET(_xlpm.value, _xlfn.XLOOKUP(Growing[[#This Row],[Seed Cup]], Cups[Id], Cups[Seed]), IF(_xlpm.value="", "", _xlpm.value))</f>
        <v>2178GP.53</v>
      </c>
      <c r="E34" s="17" t="str" cm="1">
        <f t="array" aca="1" ref="E34" ca="1">_xlfn.LET(_xlpm.value, _xlfn.XLOOKUP(Growing[[#This Row],[Seed]], Seeds[Seed], Seeds[Common Name]), IFERROR(_xlpm.value, ""))</f>
        <v>Nufar Basil</v>
      </c>
      <c r="F34" s="18" t="str">
        <f ca="1">IF(Growing[[#This Row],[Growing Jar]]="None", "None", IF(Growing[[#This Row],[Growing Jar]]="", "", _xlfn.XLOOKUP(Growing[[#This Row],[Growing Jar]],Jars!A:A,Jars!C:C)))</f>
        <v>Shining so Bright, We Grow Upright</v>
      </c>
      <c r="G34" s="17" t="str" cm="1">
        <f t="array" aca="1" ref="G3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4" s="19" t="str" cm="1">
        <f t="array" aca="1" ref="H34" ca="1">_xlfn.LET(_xlpm.value, _xlfn.XLOOKUP(Growing[[#This Row],[Seed Cup]], Cups[Id], Cups[Date Seeded]), IF(_xlpm.value="", "", _xlpm.value))</f>
        <v>2026-09-11</v>
      </c>
      <c r="I3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2026-09-21</v>
      </c>
      <c r="K34" s="19" t="s">
        <v>507</v>
      </c>
      <c r="L34" s="19" t="s">
        <v>58</v>
      </c>
      <c r="M34" s="19" t="s">
        <v>627</v>
      </c>
      <c r="N34" s="17" t="s">
        <v>16</v>
      </c>
      <c r="O3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2026-11-29</v>
      </c>
      <c r="S34" s="39"/>
      <c r="T34" s="39"/>
      <c r="U34" s="39"/>
      <c r="Z34" s="39"/>
      <c r="AA34" s="39"/>
    </row>
    <row r="35" spans="1:27">
      <c r="A35" s="19" t="s">
        <v>628</v>
      </c>
      <c r="B35" s="17" t="s">
        <v>489</v>
      </c>
      <c r="C35" s="19" t="s">
        <v>478</v>
      </c>
      <c r="D35" s="17" t="str" cm="1">
        <f t="array" aca="1" ref="D35" ca="1">_xlfn.LET(_xlpm.value, _xlfn.XLOOKUP(Growing[[#This Row],[Seed Cup]], Cups[Id], Cups[Seed]), IF(_xlpm.value="", "", _xlpm.value))</f>
        <v>2178GP.53</v>
      </c>
      <c r="E35" s="17" t="str" cm="1">
        <f t="array" aca="1" ref="E35" ca="1">_xlfn.LET(_xlpm.value, _xlfn.XLOOKUP(Growing[[#This Row],[Seed]], Seeds[Seed], Seeds[Common Name]), IFERROR(_xlpm.value, ""))</f>
        <v>Nufar Basil</v>
      </c>
      <c r="F35" s="18" t="str">
        <f ca="1">IF(Growing[[#This Row],[Growing Jar]]="None", "None", IF(Growing[[#This Row],[Growing Jar]]="", "", _xlfn.XLOOKUP(Growing[[#This Row],[Growing Jar]],Jars!A:A,Jars!C:C)))</f>
        <v>You've Made it this Jar</v>
      </c>
      <c r="G35" s="17" t="str" cm="1">
        <f t="array" aca="1" ref="G3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5" s="19" t="str" cm="1">
        <f t="array" aca="1" ref="H35" ca="1">_xlfn.LET(_xlpm.value, _xlfn.XLOOKUP(Growing[[#This Row],[Seed Cup]], Cups[Id], Cups[Date Seeded]), IF(_xlpm.value="", "", _xlpm.value))</f>
        <v>2026-09-14</v>
      </c>
      <c r="I3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2026-09-19</v>
      </c>
      <c r="J3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2026-09-24</v>
      </c>
      <c r="K35" s="19" t="s">
        <v>627</v>
      </c>
      <c r="L35" s="19" t="s">
        <v>498</v>
      </c>
      <c r="M35" s="19" t="s">
        <v>629</v>
      </c>
      <c r="N35" s="17" t="s">
        <v>16</v>
      </c>
      <c r="O3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2026-12-04</v>
      </c>
      <c r="S35" s="40"/>
      <c r="T35" s="40"/>
      <c r="U35" s="40"/>
      <c r="Z35" s="40"/>
      <c r="AA35" s="40"/>
    </row>
    <row r="36" spans="1:27">
      <c r="A36" s="19" t="s">
        <v>506</v>
      </c>
      <c r="B36" s="17" t="s">
        <v>366</v>
      </c>
      <c r="C36" s="19" t="s">
        <v>482</v>
      </c>
      <c r="D36" s="17" t="str" cm="1">
        <f t="array" aca="1" ref="D36" ca="1">_xlfn.LET(_xlpm.value, _xlfn.XLOOKUP(Growing[[#This Row],[Seed Cup]], Cups[Id], Cups[Seed]), IF(_xlpm.value="", "", _xlpm.value))</f>
        <v>3056JP.65</v>
      </c>
      <c r="E36" s="17" t="str" cm="1">
        <f t="array" aca="1" ref="E36" ca="1">_xlfn.LET(_xlpm.value, _xlfn.XLOOKUP(Growing[[#This Row],[Seed]], Seeds[Seed], Seeds[Common Name]), IFERROR(_xlpm.value, ""))</f>
        <v>Green Butter Lettuce</v>
      </c>
      <c r="F36" s="18" t="str">
        <f ca="1">IF(Growing[[#This Row],[Growing Jar]]="None", "None", IF(Growing[[#This Row],[Growing Jar]]="", "", _xlfn.XLOOKUP(Growing[[#This Row],[Growing Jar]],Jars!A:A,Jars!C:C)))</f>
        <v>None</v>
      </c>
      <c r="G36" s="17" t="str" cm="1">
        <f t="array" aca="1" ref="G3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6" s="19" t="str" cm="1">
        <f t="array" aca="1" ref="H36" ca="1">_xlfn.LET(_xlpm.value, _xlfn.XLOOKUP(Growing[[#This Row],[Seed Cup]], Cups[Id], Cups[Date Seeded]), IF(_xlpm.value="", "", _xlpm.value))</f>
        <v>2026-09-16</v>
      </c>
      <c r="I3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6" s="17" t="s">
        <v>366</v>
      </c>
      <c r="L36" s="17" t="s">
        <v>362</v>
      </c>
      <c r="M36" s="17" t="s">
        <v>366</v>
      </c>
      <c r="N36" s="17" t="s">
        <v>16</v>
      </c>
      <c r="O3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6" s="19" t="s">
        <v>514</v>
      </c>
      <c r="Q36" s="17" t="s">
        <v>615</v>
      </c>
      <c r="R36" s="17" t="s">
        <v>366</v>
      </c>
      <c r="S36" s="41" t="s">
        <v>362</v>
      </c>
      <c r="T36" s="41" t="s">
        <v>362</v>
      </c>
      <c r="U36" s="41" t="s">
        <v>362</v>
      </c>
      <c r="V36" s="17" t="s">
        <v>366</v>
      </c>
      <c r="W36" s="17" t="s">
        <v>362</v>
      </c>
      <c r="X36" s="17" t="s">
        <v>362</v>
      </c>
      <c r="Y36" s="17" t="s">
        <v>362</v>
      </c>
      <c r="Z36" s="41" t="s">
        <v>362</v>
      </c>
      <c r="AA36" s="41" t="s">
        <v>362</v>
      </c>
    </row>
    <row r="37" spans="1:27">
      <c r="A37" s="19" t="s">
        <v>511</v>
      </c>
      <c r="B37" s="20" t="s">
        <v>366</v>
      </c>
      <c r="C37" s="19" t="s">
        <v>486</v>
      </c>
      <c r="D37" s="17" t="str" cm="1">
        <f t="array" aca="1" ref="D37" ca="1">_xlfn.LET(_xlpm.value, _xlfn.XLOOKUP(Growing[[#This Row],[Seed Cup]], Cups[Id], Cups[Seed]), IF(_xlpm.value="", "", _xlpm.value))</f>
        <v>3056JP.65</v>
      </c>
      <c r="E37" s="17" t="str" cm="1">
        <f t="array" aca="1" ref="E37" ca="1">_xlfn.LET(_xlpm.value, _xlfn.XLOOKUP(Growing[[#This Row],[Seed]], Seeds[Seed], Seeds[Common Name]), IFERROR(_xlpm.value, ""))</f>
        <v>Green Butter Lettuce</v>
      </c>
      <c r="F37" s="18" t="str">
        <f ca="1">IF(Growing[[#This Row],[Growing Jar]]="None", "None", IF(Growing[[#This Row],[Growing Jar]]="", "", _xlfn.XLOOKUP(Growing[[#This Row],[Growing Jar]],Jars!A:A,Jars!C:C)))</f>
        <v>None</v>
      </c>
      <c r="G37" s="20" t="str" cm="1">
        <f t="array" aca="1" ref="G3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7" s="21" t="str" cm="1">
        <f t="array" aca="1" ref="H37" ca="1">_xlfn.LET(_xlpm.value, _xlfn.XLOOKUP(Growing[[#This Row],[Seed Cup]], Cups[Id], Cups[Date Seeded]), IF(_xlpm.value="", "", _xlpm.value))</f>
        <v>2026-09-16</v>
      </c>
      <c r="I3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7" s="17" t="s">
        <v>366</v>
      </c>
      <c r="L37" s="17" t="s">
        <v>362</v>
      </c>
      <c r="M37" s="17" t="s">
        <v>366</v>
      </c>
      <c r="N37" s="17" t="s">
        <v>16</v>
      </c>
      <c r="O3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7" s="19" t="s">
        <v>514</v>
      </c>
      <c r="Q37" s="17" t="s">
        <v>615</v>
      </c>
      <c r="R37" s="17" t="s">
        <v>366</v>
      </c>
      <c r="S37" s="42" t="s">
        <v>362</v>
      </c>
      <c r="T37" s="42" t="s">
        <v>362</v>
      </c>
      <c r="U37" s="42" t="s">
        <v>362</v>
      </c>
      <c r="V37" s="17" t="s">
        <v>366</v>
      </c>
      <c r="W37" s="17" t="s">
        <v>362</v>
      </c>
      <c r="X37" s="17" t="s">
        <v>362</v>
      </c>
      <c r="Y37" s="17" t="s">
        <v>362</v>
      </c>
      <c r="Z37" s="42" t="s">
        <v>362</v>
      </c>
      <c r="AA37" s="42" t="s">
        <v>362</v>
      </c>
    </row>
    <row r="38" spans="1:27">
      <c r="A38" s="19" t="s">
        <v>512</v>
      </c>
      <c r="B38" s="20" t="s">
        <v>366</v>
      </c>
      <c r="C38" s="19" t="s">
        <v>489</v>
      </c>
      <c r="D38" s="17" t="str" cm="1">
        <f t="array" aca="1" ref="D38" ca="1">_xlfn.LET(_xlpm.value, _xlfn.XLOOKUP(Growing[[#This Row],[Seed Cup]], Cups[Id], Cups[Seed]), IF(_xlpm.value="", "", _xlpm.value))</f>
        <v>3056JP.65</v>
      </c>
      <c r="E38" s="17" t="str" cm="1">
        <f t="array" aca="1" ref="E38" ca="1">_xlfn.LET(_xlpm.value, _xlfn.XLOOKUP(Growing[[#This Row],[Seed]], Seeds[Seed], Seeds[Common Name]), IFERROR(_xlpm.value, ""))</f>
        <v>Green Butter Lettuce</v>
      </c>
      <c r="F38" s="18" t="str">
        <f ca="1">IF(Growing[[#This Row],[Growing Jar]]="None", "None", IF(Growing[[#This Row],[Growing Jar]]="", "", _xlfn.XLOOKUP(Growing[[#This Row],[Growing Jar]],Jars!A:A,Jars!C:C)))</f>
        <v>None</v>
      </c>
      <c r="G38" s="20" t="str" cm="1">
        <f t="array" aca="1" ref="G3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8" s="21" t="str" cm="1">
        <f t="array" aca="1" ref="H38" ca="1">_xlfn.LET(_xlpm.value, _xlfn.XLOOKUP(Growing[[#This Row],[Seed Cup]], Cups[Id], Cups[Date Seeded]), IF(_xlpm.value="", "", _xlpm.value))</f>
        <v>2026-09-16</v>
      </c>
      <c r="I3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8" s="17" t="s">
        <v>366</v>
      </c>
      <c r="L38" s="17" t="s">
        <v>362</v>
      </c>
      <c r="M38" s="17" t="s">
        <v>366</v>
      </c>
      <c r="N38" s="17" t="s">
        <v>16</v>
      </c>
      <c r="O3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8" s="19" t="s">
        <v>514</v>
      </c>
      <c r="Q38" s="17" t="s">
        <v>615</v>
      </c>
      <c r="R38" s="17" t="s">
        <v>366</v>
      </c>
      <c r="S38" s="41" t="s">
        <v>362</v>
      </c>
      <c r="T38" s="41" t="s">
        <v>362</v>
      </c>
      <c r="U38" s="41" t="s">
        <v>362</v>
      </c>
      <c r="V38" s="17" t="s">
        <v>366</v>
      </c>
      <c r="W38" s="17" t="s">
        <v>362</v>
      </c>
      <c r="X38" s="17" t="s">
        <v>362</v>
      </c>
      <c r="Y38" s="17" t="s">
        <v>362</v>
      </c>
      <c r="Z38" s="41" t="s">
        <v>362</v>
      </c>
      <c r="AA38" s="41" t="s">
        <v>362</v>
      </c>
    </row>
    <row r="39" spans="1:27">
      <c r="A39" s="19" t="s">
        <v>513</v>
      </c>
      <c r="C39" s="19" t="s">
        <v>494</v>
      </c>
      <c r="D39" s="17" t="str" cm="1">
        <f t="array" aca="1" ref="D39" ca="1">_xlfn.LET(_xlpm.value, _xlfn.XLOOKUP(Growing[[#This Row],[Seed Cup]], Cups[Id], Cups[Seed]), IF(_xlpm.value="", "", _xlpm.value))</f>
        <v>2178GP.53</v>
      </c>
      <c r="E39" s="17" t="str" cm="1">
        <f t="array" aca="1" ref="E39" ca="1">_xlfn.LET(_xlpm.value, _xlfn.XLOOKUP(Growing[[#This Row],[Seed]], Seeds[Seed], Seeds[Common Name]), IFERROR(_xlpm.value, ""))</f>
        <v>Nufar Basil</v>
      </c>
      <c r="F39" s="18" t="str">
        <f ca="1">IF(Growing[[#This Row],[Growing Jar]]="None", "None", IF(Growing[[#This Row],[Growing Jar]]="", "", _xlfn.XLOOKUP(Growing[[#This Row],[Growing Jar]],Jars!A:A,Jars!C:C)))</f>
        <v/>
      </c>
      <c r="G39" s="17" t="str" cm="1">
        <f t="array" aca="1" ref="G3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39" s="19" t="str" cm="1">
        <f t="array" aca="1" ref="H39" ca="1">_xlfn.LET(_xlpm.value, _xlfn.XLOOKUP(Growing[[#This Row],[Seed Cup]], Cups[Id], Cups[Date Seeded]), IF(_xlpm.value="", "", _xlpm.value))</f>
        <v>2026-09-24</v>
      </c>
      <c r="I3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3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3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39" s="43"/>
      <c r="T39" s="43"/>
      <c r="U39" s="43"/>
      <c r="Z39" s="43"/>
      <c r="AA39" s="43"/>
    </row>
    <row r="40" spans="1:27">
      <c r="A40" s="19" t="s">
        <v>515</v>
      </c>
      <c r="C40" s="19" t="s">
        <v>498</v>
      </c>
      <c r="D40" s="17" t="str" cm="1">
        <f t="array" aca="1" ref="D40" ca="1">_xlfn.LET(_xlpm.value, _xlfn.XLOOKUP(Growing[[#This Row],[Seed Cup]], Cups[Id], Cups[Seed]), IF(_xlpm.value="", "", _xlpm.value))</f>
        <v>2178GP.53</v>
      </c>
      <c r="E40" s="17" t="str" cm="1">
        <f t="array" aca="1" ref="E40" ca="1">_xlfn.LET(_xlpm.value, _xlfn.XLOOKUP(Growing[[#This Row],[Seed]], Seeds[Seed], Seeds[Common Name]), IFERROR(_xlpm.value, ""))</f>
        <v>Nufar Basil</v>
      </c>
      <c r="F40" s="18" t="str">
        <f ca="1">IF(Growing[[#This Row],[Growing Jar]]="None", "None", IF(Growing[[#This Row],[Growing Jar]]="", "", _xlfn.XLOOKUP(Growing[[#This Row],[Growing Jar]],Jars!A:A,Jars!C:C)))</f>
        <v/>
      </c>
      <c r="G40" s="17" t="str" cm="1">
        <f t="array" aca="1" ref="G4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0" s="21" t="str" cm="1">
        <f t="array" aca="1" ref="H40" ca="1">_xlfn.LET(_xlpm.value, _xlfn.XLOOKUP(Growing[[#This Row],[Seed Cup]], Cups[Id], Cups[Date Seeded]), IF(_xlpm.value="", "", _xlpm.value))</f>
        <v>2026-09-24</v>
      </c>
      <c r="I4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4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40" s="44"/>
      <c r="T40" s="44"/>
      <c r="U40" s="44"/>
      <c r="Z40" s="44"/>
      <c r="AA40" s="44"/>
    </row>
    <row r="41" spans="1:27">
      <c r="A41" s="19" t="s">
        <v>517</v>
      </c>
      <c r="C41" s="19" t="s">
        <v>147</v>
      </c>
      <c r="D41" s="17" t="str" cm="1">
        <f t="array" aca="1" ref="D41" ca="1">_xlfn.LET(_xlpm.value, _xlfn.XLOOKUP(Growing[[#This Row],[Seed Cup]], Cups[Id], Cups[Seed]), IF(_xlpm.value="", "", _xlpm.value))</f>
        <v>2178GP.53</v>
      </c>
      <c r="E41" s="17" t="str" cm="1">
        <f t="array" aca="1" ref="E41" ca="1">_xlfn.LET(_xlpm.value, _xlfn.XLOOKUP(Growing[[#This Row],[Seed]], Seeds[Seed], Seeds[Common Name]), IFERROR(_xlpm.value, ""))</f>
        <v>Nufar Basil</v>
      </c>
      <c r="F41" s="18" t="str">
        <f ca="1">IF(Growing[[#This Row],[Growing Jar]]="None", "None", IF(Growing[[#This Row],[Growing Jar]]="", "", _xlfn.XLOOKUP(Growing[[#This Row],[Growing Jar]],Jars!A:A,Jars!C:C)))</f>
        <v/>
      </c>
      <c r="G41" s="17" t="str" cm="1">
        <f t="array" aca="1" ref="G4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1" s="21" t="str" cm="1">
        <f t="array" aca="1" ref="H41" ca="1">_xlfn.LET(_xlpm.value, _xlfn.XLOOKUP(Growing[[#This Row],[Seed Cup]], Cups[Id], Cups[Date Seeded]), IF(_xlpm.value="", "", _xlpm.value))</f>
        <v>2026-09-24</v>
      </c>
      <c r="I4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4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41" s="43"/>
      <c r="T41" s="43"/>
      <c r="U41" s="43"/>
      <c r="Z41" s="43"/>
      <c r="AA41" s="43"/>
    </row>
    <row r="42" spans="1:27">
      <c r="A42" s="19" t="s">
        <v>529</v>
      </c>
      <c r="C42" s="19" t="s">
        <v>504</v>
      </c>
      <c r="D42" s="17" t="str" cm="1">
        <f t="array" aca="1" ref="D42" ca="1">_xlfn.LET(_xlpm.value, _xlfn.XLOOKUP(Growing[[#This Row],[Seed Cup]], Cups[Id], Cups[Seed]), IF(_xlpm.value="", "", _xlpm.value))</f>
        <v>2178GP.53</v>
      </c>
      <c r="E42" s="17" t="str" cm="1">
        <f t="array" aca="1" ref="E42" ca="1">_xlfn.LET(_xlpm.value, _xlfn.XLOOKUP(Growing[[#This Row],[Seed]], Seeds[Seed], Seeds[Common Name]), IFERROR(_xlpm.value, ""))</f>
        <v>Nufar Basil</v>
      </c>
      <c r="F42" s="18" t="str">
        <f ca="1">IF(Growing[[#This Row],[Growing Jar]]="None", "None", IF(Growing[[#This Row],[Growing Jar]]="", "", _xlfn.XLOOKUP(Growing[[#This Row],[Growing Jar]],Jars!A:A,Jars!C:C)))</f>
        <v/>
      </c>
      <c r="G42" s="17" t="str" cm="1">
        <f t="array" aca="1" ref="G4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2" s="17" t="str" cm="1">
        <f t="array" aca="1" ref="H42" ca="1">_xlfn.LET(_xlpm.value, _xlfn.XLOOKUP(Growing[[#This Row],[Seed Cup]], Cups[Id], Cups[Date Seeded]), IF(_xlpm.value="", "", _xlpm.value))</f>
        <v>2026-09-30</v>
      </c>
      <c r="I4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2026-10-05</v>
      </c>
      <c r="J4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2026-10-10</v>
      </c>
      <c r="O4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3" spans="1:27">
      <c r="A43" s="19" t="s">
        <v>522</v>
      </c>
      <c r="C43" s="19" t="s">
        <v>675</v>
      </c>
      <c r="D43" s="17" t="str" cm="1">
        <f t="array" aca="1" ref="D43" ca="1">_xlfn.LET(_xlpm.value, _xlfn.XLOOKUP(Growing[[#This Row],[Seed Cup]], Cups[Id], Cups[Seed]), IF(_xlpm.value="", "", _xlpm.value))</f>
        <v>2178GP.53</v>
      </c>
      <c r="E43" s="17" t="str" cm="1">
        <f t="array" aca="1" ref="E43" ca="1">_xlfn.LET(_xlpm.value, _xlfn.XLOOKUP(Growing[[#This Row],[Seed]], Seeds[Seed], Seeds[Common Name]), IFERROR(_xlpm.value, ""))</f>
        <v>Nufar Basil</v>
      </c>
      <c r="F43" s="18" t="str">
        <f ca="1">IF(Growing[[#This Row],[Growing Jar]]="None", "None", IF(Growing[[#This Row],[Growing Jar]]="", "", _xlfn.XLOOKUP(Growing[[#This Row],[Growing Jar]],Jars!A:A,Jars!C:C)))</f>
        <v/>
      </c>
      <c r="G43" s="17" t="str" cm="1">
        <f t="array" aca="1" ref="G4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3" s="17" t="str" cm="1">
        <f t="array" aca="1" ref="H43" ca="1">_xlfn.LET(_xlpm.value, _xlfn.XLOOKUP(Growing[[#This Row],[Seed Cup]], Cups[Id], Cups[Date Seeded]), IF(_xlpm.value="", "", _xlpm.value))</f>
        <v>2026-10-01</v>
      </c>
      <c r="I4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4" spans="1:27">
      <c r="A44" s="19" t="s">
        <v>525</v>
      </c>
      <c r="C44" s="19" t="s">
        <v>677</v>
      </c>
      <c r="D44" s="17" t="str" cm="1">
        <f t="array" aca="1" ref="D44" ca="1">_xlfn.LET(_xlpm.value, _xlfn.XLOOKUP(Growing[[#This Row],[Seed Cup]], Cups[Id], Cups[Seed]), IF(_xlpm.value="", "", _xlpm.value))</f>
        <v>2178GP.53</v>
      </c>
      <c r="E44" s="17" t="str" cm="1">
        <f t="array" aca="1" ref="E44" ca="1">_xlfn.LET(_xlpm.value, _xlfn.XLOOKUP(Growing[[#This Row],[Seed]], Seeds[Seed], Seeds[Common Name]), IFERROR(_xlpm.value, ""))</f>
        <v>Nufar Basil</v>
      </c>
      <c r="F44" s="18" t="str">
        <f ca="1">IF(Growing[[#This Row],[Growing Jar]]="None", "None", IF(Growing[[#This Row],[Growing Jar]]="", "", _xlfn.XLOOKUP(Growing[[#This Row],[Growing Jar]],Jars!A:A,Jars!C:C)))</f>
        <v/>
      </c>
      <c r="G44" s="17" t="str" cm="1">
        <f t="array" aca="1" ref="G4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4" s="17" t="str" cm="1">
        <f t="array" aca="1" ref="H44" ca="1">_xlfn.LET(_xlpm.value, _xlfn.XLOOKUP(Growing[[#This Row],[Seed Cup]], Cups[Id], Cups[Date Seeded]), IF(_xlpm.value="", "", _xlpm.value))</f>
        <v>2026-10-01</v>
      </c>
      <c r="I4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5" spans="1:27">
      <c r="D45" s="17" t="str" cm="1">
        <f t="array" aca="1" ref="D45" ca="1">_xlfn.LET(_xlpm.value, _xlfn.XLOOKUP(Growing[[#This Row],[Seed Cup]], Cups[Id], Cups[Seed]), IF(_xlpm.value="", "", _xlpm.value))</f>
        <v/>
      </c>
      <c r="E45" s="17" t="str" cm="1">
        <f t="array" aca="1" ref="E45" ca="1">_xlfn.LET(_xlpm.value, _xlfn.XLOOKUP(Growing[[#This Row],[Seed]], Seeds[Seed], Seeds[Common Name]), IFERROR(_xlpm.value, ""))</f>
        <v/>
      </c>
      <c r="F45" s="18" t="str">
        <f ca="1">IF(Growing[[#This Row],[Growing Jar]]="None", "None", IF(Growing[[#This Row],[Growing Jar]]="", "", _xlfn.XLOOKUP(Growing[[#This Row],[Growing Jar]],Jars!A:A,Jars!C:C)))</f>
        <v/>
      </c>
      <c r="G45" s="17" t="str" cm="1">
        <f t="array" aca="1" ref="G4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5" s="17" t="str" cm="1">
        <f t="array" aca="1" ref="H45" ca="1">_xlfn.LET(_xlpm.value, _xlfn.XLOOKUP(Growing[[#This Row],[Seed Cup]], Cups[Id], Cups[Date Seeded]), IF(_xlpm.value="", "", _xlpm.value))</f>
        <v/>
      </c>
      <c r="I4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6" spans="1:27">
      <c r="D46" s="17" t="str" cm="1">
        <f t="array" aca="1" ref="D46" ca="1">_xlfn.LET(_xlpm.value, _xlfn.XLOOKUP(Growing[[#This Row],[Seed Cup]], Cups[Id], Cups[Seed]), IF(_xlpm.value="", "", _xlpm.value))</f>
        <v/>
      </c>
      <c r="E46" s="17" t="str" cm="1">
        <f t="array" aca="1" ref="E46" ca="1">_xlfn.LET(_xlpm.value, _xlfn.XLOOKUP(Growing[[#This Row],[Seed]], Seeds[Seed], Seeds[Common Name]), IFERROR(_xlpm.value, ""))</f>
        <v/>
      </c>
      <c r="F46" s="18" t="str">
        <f ca="1">IF(Growing[[#This Row],[Growing Jar]]="None", "None", IF(Growing[[#This Row],[Growing Jar]]="", "", _xlfn.XLOOKUP(Growing[[#This Row],[Growing Jar]],Jars!A:A,Jars!C:C)))</f>
        <v/>
      </c>
      <c r="G46" s="17" t="str" cm="1">
        <f t="array" aca="1" ref="G4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6" s="17" t="str" cm="1">
        <f t="array" aca="1" ref="H46" ca="1">_xlfn.LET(_xlpm.value, _xlfn.XLOOKUP(Growing[[#This Row],[Seed Cup]], Cups[Id], Cups[Date Seeded]), IF(_xlpm.value="", "", _xlpm.value))</f>
        <v/>
      </c>
      <c r="I4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7" spans="1:27">
      <c r="D47" s="17" t="str" cm="1">
        <f t="array" aca="1" ref="D47" ca="1">_xlfn.LET(_xlpm.value, _xlfn.XLOOKUP(Growing[[#This Row],[Seed Cup]], Cups[Id], Cups[Seed]), IF(_xlpm.value="", "", _xlpm.value))</f>
        <v/>
      </c>
      <c r="E47" s="17" t="str" cm="1">
        <f t="array" aca="1" ref="E47" ca="1">_xlfn.LET(_xlpm.value, _xlfn.XLOOKUP(Growing[[#This Row],[Seed]], Seeds[Seed], Seeds[Common Name]), IFERROR(_xlpm.value, ""))</f>
        <v/>
      </c>
      <c r="F47" s="18" t="str">
        <f ca="1">IF(Growing[[#This Row],[Growing Jar]]="None", "None", IF(Growing[[#This Row],[Growing Jar]]="", "", _xlfn.XLOOKUP(Growing[[#This Row],[Growing Jar]],Jars!A:A,Jars!C:C)))</f>
        <v/>
      </c>
      <c r="G47" s="17" t="str" cm="1">
        <f t="array" aca="1" ref="G4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7" s="17" t="str" cm="1">
        <f t="array" aca="1" ref="H47" ca="1">_xlfn.LET(_xlpm.value, _xlfn.XLOOKUP(Growing[[#This Row],[Seed Cup]], Cups[Id], Cups[Date Seeded]), IF(_xlpm.value="", "", _xlpm.value))</f>
        <v/>
      </c>
      <c r="I4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8" spans="1:27">
      <c r="D48" s="17" t="str" cm="1">
        <f t="array" aca="1" ref="D48" ca="1">_xlfn.LET(_xlpm.value, _xlfn.XLOOKUP(Growing[[#This Row],[Seed Cup]], Cups[Id], Cups[Seed]), IF(_xlpm.value="", "", _xlpm.value))</f>
        <v/>
      </c>
      <c r="E48" s="17" t="str" cm="1">
        <f t="array" aca="1" ref="E48" ca="1">_xlfn.LET(_xlpm.value, _xlfn.XLOOKUP(Growing[[#This Row],[Seed]], Seeds[Seed], Seeds[Common Name]), IFERROR(_xlpm.value, ""))</f>
        <v/>
      </c>
      <c r="F48" s="18" t="str">
        <f ca="1">IF(Growing[[#This Row],[Growing Jar]]="None", "None", IF(Growing[[#This Row],[Growing Jar]]="", "", _xlfn.XLOOKUP(Growing[[#This Row],[Growing Jar]],Jars!A:A,Jars!C:C)))</f>
        <v/>
      </c>
      <c r="G48" s="17" t="str" cm="1">
        <f t="array" aca="1" ref="G4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8" s="17" t="str" cm="1">
        <f t="array" aca="1" ref="H48" ca="1">_xlfn.LET(_xlpm.value, _xlfn.XLOOKUP(Growing[[#This Row],[Seed Cup]], Cups[Id], Cups[Date Seeded]), IF(_xlpm.value="", "", _xlpm.value))</f>
        <v/>
      </c>
      <c r="I4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9" spans="4:15">
      <c r="D49" s="17" t="str" cm="1">
        <f t="array" aca="1" ref="D49" ca="1">_xlfn.LET(_xlpm.value, _xlfn.XLOOKUP(Growing[[#This Row],[Seed Cup]], Cups[Id], Cups[Seed]), IF(_xlpm.value="", "", _xlpm.value))</f>
        <v/>
      </c>
      <c r="E49" s="17" t="str" cm="1">
        <f t="array" aca="1" ref="E49" ca="1">_xlfn.LET(_xlpm.value, _xlfn.XLOOKUP(Growing[[#This Row],[Seed]], Seeds[Seed], Seeds[Common Name]), IFERROR(_xlpm.value, ""))</f>
        <v/>
      </c>
      <c r="F49" s="18" t="str">
        <f ca="1">IF(Growing[[#This Row],[Growing Jar]]="None", "None", IF(Growing[[#This Row],[Growing Jar]]="", "", _xlfn.XLOOKUP(Growing[[#This Row],[Growing Jar]],Jars!A:A,Jars!C:C)))</f>
        <v/>
      </c>
      <c r="G49" s="17" t="str" cm="1">
        <f t="array" aca="1" ref="G4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9" s="17" t="str" cm="1">
        <f t="array" aca="1" ref="H49" ca="1">_xlfn.LET(_xlpm.value, _xlfn.XLOOKUP(Growing[[#This Row],[Seed Cup]], Cups[Id], Cups[Date Seeded]), IF(_xlpm.value="", "", _xlpm.value))</f>
        <v/>
      </c>
      <c r="I4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0" spans="4:15">
      <c r="D50" s="17" t="str" cm="1">
        <f t="array" aca="1" ref="D50" ca="1">_xlfn.LET(_xlpm.value, _xlfn.XLOOKUP(Growing[[#This Row],[Seed Cup]], Cups[Id], Cups[Seed]), IF(_xlpm.value="", "", _xlpm.value))</f>
        <v/>
      </c>
      <c r="E50" s="17" t="str" cm="1">
        <f t="array" aca="1" ref="E50" ca="1">_xlfn.LET(_xlpm.value, _xlfn.XLOOKUP(Growing[[#This Row],[Seed]], Seeds[Seed], Seeds[Common Name]), IFERROR(_xlpm.value, ""))</f>
        <v/>
      </c>
      <c r="F50" s="18" t="str">
        <f ca="1">IF(Growing[[#This Row],[Growing Jar]]="None", "None", IF(Growing[[#This Row],[Growing Jar]]="", "", _xlfn.XLOOKUP(Growing[[#This Row],[Growing Jar]],Jars!A:A,Jars!C:C)))</f>
        <v/>
      </c>
      <c r="G50" s="17" t="str" cm="1">
        <f t="array" aca="1" ref="G5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0" s="17" t="str" cm="1">
        <f t="array" aca="1" ref="H50" ca="1">_xlfn.LET(_xlpm.value, _xlfn.XLOOKUP(Growing[[#This Row],[Seed Cup]], Cups[Id], Cups[Date Seeded]), IF(_xlpm.value="", "", _xlpm.value))</f>
        <v/>
      </c>
      <c r="I5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1" spans="4:15">
      <c r="D51" s="17" t="str" cm="1">
        <f t="array" aca="1" ref="D51" ca="1">_xlfn.LET(_xlpm.value, _xlfn.XLOOKUP(Growing[[#This Row],[Seed Cup]], Cups[Id], Cups[Seed]), IF(_xlpm.value="", "", _xlpm.value))</f>
        <v/>
      </c>
      <c r="E51" s="17" t="str" cm="1">
        <f t="array" aca="1" ref="E51" ca="1">_xlfn.LET(_xlpm.value, _xlfn.XLOOKUP(Growing[[#This Row],[Seed]], Seeds[Seed], Seeds[Common Name]), IFERROR(_xlpm.value, ""))</f>
        <v/>
      </c>
      <c r="F51" s="18" t="str">
        <f ca="1">IF(Growing[[#This Row],[Growing Jar]]="None", "None", IF(Growing[[#This Row],[Growing Jar]]="", "", _xlfn.XLOOKUP(Growing[[#This Row],[Growing Jar]],Jars!A:A,Jars!C:C)))</f>
        <v/>
      </c>
      <c r="G51" s="17" t="str" cm="1">
        <f t="array" aca="1" ref="G5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1" s="17" t="str" cm="1">
        <f t="array" aca="1" ref="H51" ca="1">_xlfn.LET(_xlpm.value, _xlfn.XLOOKUP(Growing[[#This Row],[Seed Cup]], Cups[Id], Cups[Date Seeded]), IF(_xlpm.value="", "", _xlpm.value))</f>
        <v/>
      </c>
      <c r="I5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2" spans="4:15">
      <c r="D52" s="17" t="str" cm="1">
        <f t="array" aca="1" ref="D52" ca="1">_xlfn.LET(_xlpm.value, _xlfn.XLOOKUP(Growing[[#This Row],[Seed Cup]], Cups[Id], Cups[Seed]), IF(_xlpm.value="", "", _xlpm.value))</f>
        <v/>
      </c>
      <c r="E52" s="17" t="str" cm="1">
        <f t="array" aca="1" ref="E52" ca="1">_xlfn.LET(_xlpm.value, _xlfn.XLOOKUP(Growing[[#This Row],[Seed]], Seeds[Seed], Seeds[Common Name]), IFERROR(_xlpm.value, ""))</f>
        <v/>
      </c>
      <c r="F52" s="18" t="str">
        <f ca="1">IF(Growing[[#This Row],[Growing Jar]]="None", "None", IF(Growing[[#This Row],[Growing Jar]]="", "", _xlfn.XLOOKUP(Growing[[#This Row],[Growing Jar]],Jars!A:A,Jars!C:C)))</f>
        <v/>
      </c>
      <c r="G52" s="17" t="str" cm="1">
        <f t="array" aca="1" ref="G5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2" s="17" t="str" cm="1">
        <f t="array" aca="1" ref="H52" ca="1">_xlfn.LET(_xlpm.value, _xlfn.XLOOKUP(Growing[[#This Row],[Seed Cup]], Cups[Id], Cups[Date Seeded]), IF(_xlpm.value="", "", _xlpm.value))</f>
        <v/>
      </c>
      <c r="I5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3" spans="4:15">
      <c r="D53" s="17" t="str" cm="1">
        <f t="array" aca="1" ref="D53" ca="1">_xlfn.LET(_xlpm.value, _xlfn.XLOOKUP(Growing[[#This Row],[Seed Cup]], Cups[Id], Cups[Seed]), IF(_xlpm.value="", "", _xlpm.value))</f>
        <v/>
      </c>
      <c r="E53" s="17" t="str" cm="1">
        <f t="array" aca="1" ref="E53" ca="1">_xlfn.LET(_xlpm.value, _xlfn.XLOOKUP(Growing[[#This Row],[Seed]], Seeds[Seed], Seeds[Common Name]), IFERROR(_xlpm.value, ""))</f>
        <v/>
      </c>
      <c r="F53" s="18" t="str">
        <f ca="1">IF(Growing[[#This Row],[Growing Jar]]="None", "None", IF(Growing[[#This Row],[Growing Jar]]="", "", _xlfn.XLOOKUP(Growing[[#This Row],[Growing Jar]],Jars!A:A,Jars!C:C)))</f>
        <v/>
      </c>
      <c r="G53" s="17" t="str" cm="1">
        <f t="array" aca="1" ref="G5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3" s="17" t="str" cm="1">
        <f t="array" aca="1" ref="H53" ca="1">_xlfn.LET(_xlpm.value, _xlfn.XLOOKUP(Growing[[#This Row],[Seed Cup]], Cups[Id], Cups[Date Seeded]), IF(_xlpm.value="", "", _xlpm.value))</f>
        <v/>
      </c>
      <c r="I5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4" spans="4:15">
      <c r="D54" s="17" t="str" cm="1">
        <f t="array" aca="1" ref="D54" ca="1">_xlfn.LET(_xlpm.value, _xlfn.XLOOKUP(Growing[[#This Row],[Seed Cup]], Cups[Id], Cups[Seed]), IF(_xlpm.value="", "", _xlpm.value))</f>
        <v/>
      </c>
      <c r="E54" s="17" t="str" cm="1">
        <f t="array" aca="1" ref="E54" ca="1">_xlfn.LET(_xlpm.value, _xlfn.XLOOKUP(Growing[[#This Row],[Seed]], Seeds[Seed], Seeds[Common Name]), IFERROR(_xlpm.value, ""))</f>
        <v/>
      </c>
      <c r="F54" s="18" t="str">
        <f ca="1">IF(Growing[[#This Row],[Growing Jar]]="None", "None", IF(Growing[[#This Row],[Growing Jar]]="", "", _xlfn.XLOOKUP(Growing[[#This Row],[Growing Jar]],Jars!A:A,Jars!C:C)))</f>
        <v/>
      </c>
      <c r="G54" s="17" t="str" cm="1">
        <f t="array" aca="1" ref="G5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4" s="17" t="str" cm="1">
        <f t="array" aca="1" ref="H54" ca="1">_xlfn.LET(_xlpm.value, _xlfn.XLOOKUP(Growing[[#This Row],[Seed Cup]], Cups[Id], Cups[Date Seeded]), IF(_xlpm.value="", "", _xlpm.value))</f>
        <v/>
      </c>
      <c r="I5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5" spans="4:15">
      <c r="D55" s="17" t="str" cm="1">
        <f t="array" aca="1" ref="D55" ca="1">_xlfn.LET(_xlpm.value, _xlfn.XLOOKUP(Growing[[#This Row],[Seed Cup]], Cups[Id], Cups[Seed]), IF(_xlpm.value="", "", _xlpm.value))</f>
        <v/>
      </c>
      <c r="E55" s="17" t="str" cm="1">
        <f t="array" aca="1" ref="E55" ca="1">_xlfn.LET(_xlpm.value, _xlfn.XLOOKUP(Growing[[#This Row],[Seed]], Seeds[Seed], Seeds[Common Name]), IFERROR(_xlpm.value, ""))</f>
        <v/>
      </c>
      <c r="F55" s="18" t="str">
        <f ca="1">IF(Growing[[#This Row],[Growing Jar]]="None", "None", IF(Growing[[#This Row],[Growing Jar]]="", "", _xlfn.XLOOKUP(Growing[[#This Row],[Growing Jar]],Jars!A:A,Jars!C:C)))</f>
        <v/>
      </c>
      <c r="G55" s="17" t="str" cm="1">
        <f t="array" aca="1" ref="G5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5" s="17" t="str" cm="1">
        <f t="array" aca="1" ref="H55" ca="1">_xlfn.LET(_xlpm.value, _xlfn.XLOOKUP(Growing[[#This Row],[Seed Cup]], Cups[Id], Cups[Date Seeded]), IF(_xlpm.value="", "", _xlpm.value))</f>
        <v/>
      </c>
      <c r="I5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6" spans="4:15">
      <c r="D56" s="17" t="str" cm="1">
        <f t="array" aca="1" ref="D56" ca="1">_xlfn.LET(_xlpm.value, _xlfn.XLOOKUP(Growing[[#This Row],[Seed Cup]], Cups[Id], Cups[Seed]), IF(_xlpm.value="", "", _xlpm.value))</f>
        <v/>
      </c>
      <c r="E56" s="17" t="str" cm="1">
        <f t="array" aca="1" ref="E56" ca="1">_xlfn.LET(_xlpm.value, _xlfn.XLOOKUP(Growing[[#This Row],[Seed]], Seeds[Seed], Seeds[Common Name]), IFERROR(_xlpm.value, ""))</f>
        <v/>
      </c>
      <c r="F56" s="18" t="str">
        <f ca="1">IF(Growing[[#This Row],[Growing Jar]]="None", "None", IF(Growing[[#This Row],[Growing Jar]]="", "", _xlfn.XLOOKUP(Growing[[#This Row],[Growing Jar]],Jars!A:A,Jars!C:C)))</f>
        <v/>
      </c>
      <c r="G56" s="17" t="str" cm="1">
        <f t="array" aca="1" ref="G5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6" s="17" t="str" cm="1">
        <f t="array" aca="1" ref="H56" ca="1">_xlfn.LET(_xlpm.value, _xlfn.XLOOKUP(Growing[[#This Row],[Seed Cup]], Cups[Id], Cups[Date Seeded]), IF(_xlpm.value="", "", _xlpm.value))</f>
        <v/>
      </c>
      <c r="I5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7" spans="4:15">
      <c r="D57" s="17" t="str" cm="1">
        <f t="array" aca="1" ref="D57" ca="1">_xlfn.LET(_xlpm.value, _xlfn.XLOOKUP(Growing[[#This Row],[Seed Cup]], Cups[Id], Cups[Seed]), IF(_xlpm.value="", "", _xlpm.value))</f>
        <v/>
      </c>
      <c r="E57" s="17" t="str" cm="1">
        <f t="array" aca="1" ref="E57" ca="1">_xlfn.LET(_xlpm.value, _xlfn.XLOOKUP(Growing[[#This Row],[Seed]], Seeds[Seed], Seeds[Common Name]), IFERROR(_xlpm.value, ""))</f>
        <v/>
      </c>
      <c r="F57" s="18" t="str">
        <f ca="1">IF(Growing[[#This Row],[Growing Jar]]="None", "None", IF(Growing[[#This Row],[Growing Jar]]="", "", _xlfn.XLOOKUP(Growing[[#This Row],[Growing Jar]],Jars!A:A,Jars!C:C)))</f>
        <v/>
      </c>
      <c r="G57" s="17" t="str" cm="1">
        <f t="array" aca="1" ref="G5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7" s="17" t="str" cm="1">
        <f t="array" aca="1" ref="H57" ca="1">_xlfn.LET(_xlpm.value, _xlfn.XLOOKUP(Growing[[#This Row],[Seed Cup]], Cups[Id], Cups[Date Seeded]), IF(_xlpm.value="", "", _xlpm.value))</f>
        <v/>
      </c>
      <c r="I5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8" spans="4:15">
      <c r="D58" s="17" t="str" cm="1">
        <f t="array" aca="1" ref="D58" ca="1">_xlfn.LET(_xlpm.value, _xlfn.XLOOKUP(Growing[[#This Row],[Seed Cup]], Cups[Id], Cups[Seed]), IF(_xlpm.value="", "", _xlpm.value))</f>
        <v/>
      </c>
      <c r="E58" s="17" t="str" cm="1">
        <f t="array" aca="1" ref="E58" ca="1">_xlfn.LET(_xlpm.value, _xlfn.XLOOKUP(Growing[[#This Row],[Seed]], Seeds[Seed], Seeds[Common Name]), IFERROR(_xlpm.value, ""))</f>
        <v/>
      </c>
      <c r="F58" s="18" t="str">
        <f ca="1">IF(Growing[[#This Row],[Growing Jar]]="None", "None", IF(Growing[[#This Row],[Growing Jar]]="", "", _xlfn.XLOOKUP(Growing[[#This Row],[Growing Jar]],Jars!A:A,Jars!C:C)))</f>
        <v/>
      </c>
      <c r="G58" s="17" t="str" cm="1">
        <f t="array" aca="1" ref="G5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8" s="17" t="str" cm="1">
        <f t="array" aca="1" ref="H58" ca="1">_xlfn.LET(_xlpm.value, _xlfn.XLOOKUP(Growing[[#This Row],[Seed Cup]], Cups[Id], Cups[Date Seeded]), IF(_xlpm.value="", "", _xlpm.value))</f>
        <v/>
      </c>
      <c r="I5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9" spans="4:15">
      <c r="D59" s="17" t="str" cm="1">
        <f t="array" aca="1" ref="D59" ca="1">_xlfn.LET(_xlpm.value, _xlfn.XLOOKUP(Growing[[#This Row],[Seed Cup]], Cups[Id], Cups[Seed]), IF(_xlpm.value="", "", _xlpm.value))</f>
        <v/>
      </c>
      <c r="E59" s="17" t="str" cm="1">
        <f t="array" aca="1" ref="E59" ca="1">_xlfn.LET(_xlpm.value, _xlfn.XLOOKUP(Growing[[#This Row],[Seed]], Seeds[Seed], Seeds[Common Name]), IFERROR(_xlpm.value, ""))</f>
        <v/>
      </c>
      <c r="F59" s="18" t="str">
        <f ca="1">IF(Growing[[#This Row],[Growing Jar]]="None", "None", IF(Growing[[#This Row],[Growing Jar]]="", "", _xlfn.XLOOKUP(Growing[[#This Row],[Growing Jar]],Jars!A:A,Jars!C:C)))</f>
        <v/>
      </c>
      <c r="G59" s="17" t="str" cm="1">
        <f t="array" aca="1" ref="G5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9" s="17" t="str" cm="1">
        <f t="array" aca="1" ref="H59" ca="1">_xlfn.LET(_xlpm.value, _xlfn.XLOOKUP(Growing[[#This Row],[Seed Cup]], Cups[Id], Cups[Date Seeded]), IF(_xlpm.value="", "", _xlpm.value))</f>
        <v/>
      </c>
      <c r="I5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0" spans="4:15">
      <c r="D60" s="17" t="str" cm="1">
        <f t="array" aca="1" ref="D60" ca="1">_xlfn.LET(_xlpm.value, _xlfn.XLOOKUP(Growing[[#This Row],[Seed Cup]], Cups[Id], Cups[Seed]), IF(_xlpm.value="", "", _xlpm.value))</f>
        <v/>
      </c>
      <c r="E60" s="17" t="str" cm="1">
        <f t="array" aca="1" ref="E60" ca="1">_xlfn.LET(_xlpm.value, _xlfn.XLOOKUP(Growing[[#This Row],[Seed]], Seeds[Seed], Seeds[Common Name]), IFERROR(_xlpm.value, ""))</f>
        <v/>
      </c>
      <c r="F60" s="18" t="str">
        <f ca="1">IF(Growing[[#This Row],[Growing Jar]]="None", "None", IF(Growing[[#This Row],[Growing Jar]]="", "", _xlfn.XLOOKUP(Growing[[#This Row],[Growing Jar]],Jars!A:A,Jars!C:C)))</f>
        <v/>
      </c>
      <c r="G60" s="17" t="str" cm="1">
        <f t="array" aca="1" ref="G6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0" s="17" t="str" cm="1">
        <f t="array" aca="1" ref="H60" ca="1">_xlfn.LET(_xlpm.value, _xlfn.XLOOKUP(Growing[[#This Row],[Seed Cup]], Cups[Id], Cups[Date Seeded]), IF(_xlpm.value="", "", _xlpm.value))</f>
        <v/>
      </c>
      <c r="I6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1" spans="4:15">
      <c r="D61" s="17" t="str" cm="1">
        <f t="array" aca="1" ref="D61" ca="1">_xlfn.LET(_xlpm.value, _xlfn.XLOOKUP(Growing[[#This Row],[Seed Cup]], Cups[Id], Cups[Seed]), IF(_xlpm.value="", "", _xlpm.value))</f>
        <v/>
      </c>
      <c r="E61" s="17" t="str" cm="1">
        <f t="array" aca="1" ref="E61" ca="1">_xlfn.LET(_xlpm.value, _xlfn.XLOOKUP(Growing[[#This Row],[Seed]], Seeds[Seed], Seeds[Common Name]), IFERROR(_xlpm.value, ""))</f>
        <v/>
      </c>
      <c r="F61" s="18" t="str">
        <f ca="1">IF(Growing[[#This Row],[Growing Jar]]="None", "None", IF(Growing[[#This Row],[Growing Jar]]="", "", _xlfn.XLOOKUP(Growing[[#This Row],[Growing Jar]],Jars!A:A,Jars!C:C)))</f>
        <v/>
      </c>
      <c r="G61" s="17" t="str" cm="1">
        <f t="array" aca="1" ref="G6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1" s="17" t="str" cm="1">
        <f t="array" aca="1" ref="H61" ca="1">_xlfn.LET(_xlpm.value, _xlfn.XLOOKUP(Growing[[#This Row],[Seed Cup]], Cups[Id], Cups[Date Seeded]), IF(_xlpm.value="", "", _xlpm.value))</f>
        <v/>
      </c>
      <c r="I6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2" spans="4:15">
      <c r="D62" s="17" t="str" cm="1">
        <f t="array" aca="1" ref="D62" ca="1">_xlfn.LET(_xlpm.value, _xlfn.XLOOKUP(Growing[[#This Row],[Seed Cup]], Cups[Id], Cups[Seed]), IF(_xlpm.value="", "", _xlpm.value))</f>
        <v/>
      </c>
      <c r="E62" s="17" t="str" cm="1">
        <f t="array" aca="1" ref="E62" ca="1">_xlfn.LET(_xlpm.value, _xlfn.XLOOKUP(Growing[[#This Row],[Seed]], Seeds[Seed], Seeds[Common Name]), IFERROR(_xlpm.value, ""))</f>
        <v/>
      </c>
      <c r="F62" s="18" t="str">
        <f ca="1">IF(Growing[[#This Row],[Growing Jar]]="None", "None", IF(Growing[[#This Row],[Growing Jar]]="", "", _xlfn.XLOOKUP(Growing[[#This Row],[Growing Jar]],Jars!A:A,Jars!C:C)))</f>
        <v/>
      </c>
      <c r="G62" s="17" t="str" cm="1">
        <f t="array" aca="1" ref="G6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2" s="17" t="str" cm="1">
        <f t="array" aca="1" ref="H62" ca="1">_xlfn.LET(_xlpm.value, _xlfn.XLOOKUP(Growing[[#This Row],[Seed Cup]], Cups[Id], Cups[Date Seeded]), IF(_xlpm.value="", "", _xlpm.value))</f>
        <v/>
      </c>
      <c r="I6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3" spans="4:15">
      <c r="D63" s="17" t="str" cm="1">
        <f t="array" aca="1" ref="D63" ca="1">_xlfn.LET(_xlpm.value, _xlfn.XLOOKUP(Growing[[#This Row],[Seed Cup]], Cups[Id], Cups[Seed]), IF(_xlpm.value="", "", _xlpm.value))</f>
        <v/>
      </c>
      <c r="E63" s="17" t="str" cm="1">
        <f t="array" aca="1" ref="E63" ca="1">_xlfn.LET(_xlpm.value, _xlfn.XLOOKUP(Growing[[#This Row],[Seed]], Seeds[Seed], Seeds[Common Name]), IFERROR(_xlpm.value, ""))</f>
        <v/>
      </c>
      <c r="F63" s="18" t="str">
        <f ca="1">IF(Growing[[#This Row],[Growing Jar]]="None", "None", IF(Growing[[#This Row],[Growing Jar]]="", "", _xlfn.XLOOKUP(Growing[[#This Row],[Growing Jar]],Jars!A:A,Jars!C:C)))</f>
        <v/>
      </c>
      <c r="G63" s="17" t="str" cm="1">
        <f t="array" aca="1" ref="G6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3" s="17" t="str" cm="1">
        <f t="array" aca="1" ref="H63" ca="1">_xlfn.LET(_xlpm.value, _xlfn.XLOOKUP(Growing[[#This Row],[Seed Cup]], Cups[Id], Cups[Date Seeded]), IF(_xlpm.value="", "", _xlpm.value))</f>
        <v/>
      </c>
      <c r="I6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4" spans="4:15">
      <c r="D64" s="17" t="str" cm="1">
        <f t="array" aca="1" ref="D64" ca="1">_xlfn.LET(_xlpm.value, _xlfn.XLOOKUP(Growing[[#This Row],[Seed Cup]], Cups[Id], Cups[Seed]), IF(_xlpm.value="", "", _xlpm.value))</f>
        <v/>
      </c>
      <c r="E64" s="17" t="str" cm="1">
        <f t="array" aca="1" ref="E64" ca="1">_xlfn.LET(_xlpm.value, _xlfn.XLOOKUP(Growing[[#This Row],[Seed]], Seeds[Seed], Seeds[Common Name]), IFERROR(_xlpm.value, ""))</f>
        <v/>
      </c>
      <c r="F64" s="18" t="str">
        <f ca="1">IF(Growing[[#This Row],[Growing Jar]]="None", "None", IF(Growing[[#This Row],[Growing Jar]]="", "", _xlfn.XLOOKUP(Growing[[#This Row],[Growing Jar]],Jars!A:A,Jars!C:C)))</f>
        <v/>
      </c>
      <c r="G64" s="17" t="str" cm="1">
        <f t="array" aca="1" ref="G6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4" s="17" t="str" cm="1">
        <f t="array" aca="1" ref="H64" ca="1">_xlfn.LET(_xlpm.value, _xlfn.XLOOKUP(Growing[[#This Row],[Seed Cup]], Cups[Id], Cups[Date Seeded]), IF(_xlpm.value="", "", _xlpm.value))</f>
        <v/>
      </c>
      <c r="I6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5" spans="4:15">
      <c r="D65" s="17" t="str" cm="1">
        <f t="array" aca="1" ref="D65" ca="1">_xlfn.LET(_xlpm.value, _xlfn.XLOOKUP(Growing[[#This Row],[Seed Cup]], Cups[Id], Cups[Seed]), IF(_xlpm.value="", "", _xlpm.value))</f>
        <v/>
      </c>
      <c r="E65" s="17" t="str" cm="1">
        <f t="array" aca="1" ref="E65" ca="1">_xlfn.LET(_xlpm.value, _xlfn.XLOOKUP(Growing[[#This Row],[Seed]], Seeds[Seed], Seeds[Common Name]), IFERROR(_xlpm.value, ""))</f>
        <v/>
      </c>
      <c r="F65" s="18" t="str">
        <f ca="1">IF(Growing[[#This Row],[Growing Jar]]="None", "None", IF(Growing[[#This Row],[Growing Jar]]="", "", _xlfn.XLOOKUP(Growing[[#This Row],[Growing Jar]],Jars!A:A,Jars!C:C)))</f>
        <v/>
      </c>
      <c r="G65" s="17" t="str" cm="1">
        <f t="array" aca="1" ref="G6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5" s="17" t="str" cm="1">
        <f t="array" aca="1" ref="H65" ca="1">_xlfn.LET(_xlpm.value, _xlfn.XLOOKUP(Growing[[#This Row],[Seed Cup]], Cups[Id], Cups[Date Seeded]), IF(_xlpm.value="", "", _xlpm.value))</f>
        <v/>
      </c>
      <c r="I6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6" spans="4:15">
      <c r="D66" s="17" t="str" cm="1">
        <f t="array" aca="1" ref="D66" ca="1">_xlfn.LET(_xlpm.value, _xlfn.XLOOKUP(Growing[[#This Row],[Seed Cup]], Cups[Id], Cups[Seed]), IF(_xlpm.value="", "", _xlpm.value))</f>
        <v/>
      </c>
      <c r="E66" s="17" t="str" cm="1">
        <f t="array" aca="1" ref="E66" ca="1">_xlfn.LET(_xlpm.value, _xlfn.XLOOKUP(Growing[[#This Row],[Seed]], Seeds[Seed], Seeds[Common Name]), IFERROR(_xlpm.value, ""))</f>
        <v/>
      </c>
      <c r="F66" s="18" t="str">
        <f ca="1">IF(Growing[[#This Row],[Growing Jar]]="None", "None", IF(Growing[[#This Row],[Growing Jar]]="", "", _xlfn.XLOOKUP(Growing[[#This Row],[Growing Jar]],Jars!A:A,Jars!C:C)))</f>
        <v/>
      </c>
      <c r="G66" s="17" t="str" cm="1">
        <f t="array" aca="1" ref="G6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6" s="17" t="str" cm="1">
        <f t="array" aca="1" ref="H66" ca="1">_xlfn.LET(_xlpm.value, _xlfn.XLOOKUP(Growing[[#This Row],[Seed Cup]], Cups[Id], Cups[Date Seeded]), IF(_xlpm.value="", "", _xlpm.value))</f>
        <v/>
      </c>
      <c r="I6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</sheetData>
  <conditionalFormatting sqref="M12 A37:A38 I11:M11 I12:K12 I13:M999999 A11:B36 A39:B999999 N42:AB999999 N11:R41 AB11:AB41 V11:Y41 C11:H999999">
    <cfRule type="expression" dxfId="71" priority="121">
      <formula>AND($P11="",$M11&lt;&gt;"")</formula>
    </cfRule>
  </conditionalFormatting>
  <conditionalFormatting sqref="I12:K12 A37:A38 I11:M11 M12 I13:M999999 A39:B999999 G39:G999999 A11:B36 G11:G36 C11:F999999 N42:AB999999 N11:R41 AB11:AB41 V11:Y41 H11:H999999">
    <cfRule type="expression" dxfId="70" priority="308">
      <formula>AND($M11="",$A11&lt;&gt;"")</formula>
    </cfRule>
  </conditionalFormatting>
  <conditionalFormatting sqref="A11:AF999999">
    <cfRule type="expression" dxfId="69" priority="2">
      <formula>AND(A11="", $A11&lt;&gt;"", A$10&lt;&gt;"")</formula>
    </cfRule>
  </conditionalFormatting>
  <conditionalFormatting sqref="A11:AF999999">
    <cfRule type="expression" dxfId="68" priority="1">
      <formula>_xlfn.ISFORMULA(A11)</formula>
    </cfRule>
  </conditionalFormatting>
  <dataValidations count="4">
    <dataValidation allowBlank="1" showInputMessage="1" showErrorMessage="1" sqref="W10:AA10" xr:uid="{6671CBCE-1EAC-49A4-A9B7-49452105ABDB}"/>
    <dataValidation type="list" allowBlank="1" showInputMessage="1" showErrorMessage="1" sqref="Y22 Y28:Y32 Y20" xr:uid="{95A02C39-861D-40A6-AEC4-625F7CCFE957}">
      <formula1>$Y$1:$Y$5</formula1>
    </dataValidation>
    <dataValidation type="list" allowBlank="1" showInputMessage="1" showErrorMessage="1" sqref="X20 X28:X32 X22" xr:uid="{7FF55418-DD74-47C3-896C-4A62690C8B5B}">
      <formula1>$X$1:$X$4</formula1>
    </dataValidation>
    <dataValidation type="list" allowBlank="1" showInputMessage="1" showErrorMessage="1" sqref="W11:W66" xr:uid="{7DC51AB1-AAE1-468B-98F3-D734F6E54D01}">
      <formula1>$W$1:$W$8</formula1>
    </dataValidation>
  </dataValidation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8009-15E9-4D43-8362-7A492045949E}">
  <dimension ref="A1:J26"/>
  <sheetViews>
    <sheetView workbookViewId="0">
      <pane xSplit="2" topLeftCell="E10" activePane="topRight" state="frozen"/>
      <selection pane="topRight" activeCell="B12" sqref="B12"/>
    </sheetView>
  </sheetViews>
  <sheetFormatPr defaultRowHeight="15"/>
  <cols>
    <col min="1" max="1" width="15.28515625" customWidth="1"/>
    <col min="2" max="2" width="12" customWidth="1"/>
    <col min="3" max="3" width="18.5703125" customWidth="1"/>
    <col min="4" max="4" width="18.85546875" customWidth="1"/>
    <col min="5" max="5" width="16.5703125" customWidth="1"/>
    <col min="6" max="6" width="21.28515625" customWidth="1"/>
    <col min="7" max="7" width="21.140625" customWidth="1"/>
    <col min="8" max="8" width="19" customWidth="1"/>
    <col min="9" max="9" width="16.7109375" customWidth="1"/>
    <col min="10" max="10" width="76" customWidth="1"/>
  </cols>
  <sheetData>
    <row r="1" spans="1:10">
      <c r="I1" t="s">
        <v>362</v>
      </c>
    </row>
    <row r="2" spans="1:10">
      <c r="I2" t="s">
        <v>631</v>
      </c>
    </row>
    <row r="3" spans="1:10">
      <c r="I3" t="s">
        <v>632</v>
      </c>
    </row>
    <row r="10" spans="1:10">
      <c r="A10" t="s">
        <v>559</v>
      </c>
      <c r="B10" t="s">
        <v>695</v>
      </c>
      <c r="C10" t="s">
        <v>696</v>
      </c>
      <c r="D10" t="s">
        <v>571</v>
      </c>
      <c r="E10" t="s">
        <v>635</v>
      </c>
      <c r="F10" t="s">
        <v>697</v>
      </c>
      <c r="G10" t="s">
        <v>698</v>
      </c>
      <c r="H10" t="s">
        <v>699</v>
      </c>
      <c r="I10" t="s">
        <v>637</v>
      </c>
      <c r="J10" t="s">
        <v>356</v>
      </c>
    </row>
    <row r="11" spans="1:10">
      <c r="A11" t="s">
        <v>6</v>
      </c>
      <c r="B11" t="s">
        <v>362</v>
      </c>
      <c r="C11" t="s">
        <v>6</v>
      </c>
      <c r="D11" t="s">
        <v>544</v>
      </c>
      <c r="E11" t="s">
        <v>590</v>
      </c>
      <c r="F11" t="s">
        <v>362</v>
      </c>
      <c r="G11" t="s">
        <v>362</v>
      </c>
      <c r="H11" t="s">
        <v>362</v>
      </c>
      <c r="I11" t="s">
        <v>362</v>
      </c>
    </row>
    <row r="12" spans="1:10">
      <c r="A12" t="s">
        <v>6</v>
      </c>
      <c r="B12" t="s">
        <v>362</v>
      </c>
      <c r="C12" t="s">
        <v>10</v>
      </c>
      <c r="D12" t="s">
        <v>540</v>
      </c>
      <c r="E12" t="s">
        <v>591</v>
      </c>
      <c r="F12" t="s">
        <v>362</v>
      </c>
      <c r="G12" t="s">
        <v>362</v>
      </c>
      <c r="H12" t="s">
        <v>362</v>
      </c>
      <c r="I12" t="s">
        <v>362</v>
      </c>
    </row>
    <row r="13" spans="1:10">
      <c r="A13" t="s">
        <v>10</v>
      </c>
      <c r="B13" t="s">
        <v>362</v>
      </c>
      <c r="C13" t="s">
        <v>6</v>
      </c>
      <c r="D13" t="s">
        <v>540</v>
      </c>
      <c r="E13" t="s">
        <v>590</v>
      </c>
      <c r="F13" t="s">
        <v>362</v>
      </c>
      <c r="G13" t="s">
        <v>362</v>
      </c>
      <c r="H13" t="s">
        <v>362</v>
      </c>
      <c r="I13" t="s">
        <v>362</v>
      </c>
    </row>
    <row r="14" spans="1:10">
      <c r="A14" t="s">
        <v>14</v>
      </c>
      <c r="B14" t="s">
        <v>362</v>
      </c>
      <c r="C14" t="s">
        <v>6</v>
      </c>
      <c r="D14" t="s">
        <v>540</v>
      </c>
      <c r="E14" t="s">
        <v>590</v>
      </c>
      <c r="F14" t="s">
        <v>362</v>
      </c>
      <c r="G14" t="s">
        <v>362</v>
      </c>
      <c r="H14" t="s">
        <v>362</v>
      </c>
      <c r="I14" t="s">
        <v>362</v>
      </c>
    </row>
    <row r="15" spans="1:10">
      <c r="A15" t="s">
        <v>381</v>
      </c>
      <c r="B15" t="s">
        <v>362</v>
      </c>
      <c r="C15" t="s">
        <v>6</v>
      </c>
      <c r="D15" t="s">
        <v>544</v>
      </c>
      <c r="E15" t="s">
        <v>590</v>
      </c>
      <c r="F15" t="s">
        <v>362</v>
      </c>
      <c r="G15" t="s">
        <v>362</v>
      </c>
      <c r="H15" t="s">
        <v>362</v>
      </c>
      <c r="I15" t="s">
        <v>362</v>
      </c>
    </row>
    <row r="16" spans="1:10">
      <c r="A16" t="s">
        <v>381</v>
      </c>
      <c r="B16" t="s">
        <v>362</v>
      </c>
      <c r="C16" t="s">
        <v>10</v>
      </c>
      <c r="D16" t="s">
        <v>540</v>
      </c>
      <c r="E16" t="s">
        <v>591</v>
      </c>
      <c r="F16" t="s">
        <v>362</v>
      </c>
      <c r="G16" t="s">
        <v>362</v>
      </c>
      <c r="H16" t="s">
        <v>362</v>
      </c>
      <c r="I16" t="s">
        <v>362</v>
      </c>
    </row>
    <row r="17" spans="1:9">
      <c r="A17" t="s">
        <v>390</v>
      </c>
      <c r="B17" t="s">
        <v>362</v>
      </c>
      <c r="C17" t="s">
        <v>6</v>
      </c>
      <c r="D17" t="s">
        <v>540</v>
      </c>
      <c r="E17" t="s">
        <v>599</v>
      </c>
      <c r="F17" t="s">
        <v>600</v>
      </c>
      <c r="G17" t="s">
        <v>362</v>
      </c>
      <c r="H17" t="s">
        <v>362</v>
      </c>
      <c r="I17" t="s">
        <v>362</v>
      </c>
    </row>
    <row r="18" spans="1:9">
      <c r="A18" t="s">
        <v>396</v>
      </c>
      <c r="B18" t="s">
        <v>362</v>
      </c>
      <c r="C18" t="s">
        <v>6</v>
      </c>
      <c r="D18" t="s">
        <v>540</v>
      </c>
      <c r="E18" t="s">
        <v>599</v>
      </c>
      <c r="F18" t="s">
        <v>362</v>
      </c>
      <c r="G18" t="s">
        <v>362</v>
      </c>
      <c r="H18" t="s">
        <v>362</v>
      </c>
      <c r="I18" t="s">
        <v>362</v>
      </c>
    </row>
    <row r="19" spans="1:9">
      <c r="A19" t="s">
        <v>401</v>
      </c>
      <c r="B19" t="s">
        <v>362</v>
      </c>
      <c r="C19" t="s">
        <v>6</v>
      </c>
      <c r="D19" t="s">
        <v>540</v>
      </c>
      <c r="E19" t="s">
        <v>602</v>
      </c>
      <c r="F19" t="s">
        <v>603</v>
      </c>
      <c r="G19" t="s">
        <v>362</v>
      </c>
      <c r="H19" t="s">
        <v>362</v>
      </c>
      <c r="I19" t="s">
        <v>362</v>
      </c>
    </row>
    <row r="20" spans="1:9">
      <c r="A20" t="s">
        <v>406</v>
      </c>
      <c r="B20" t="s">
        <v>362</v>
      </c>
      <c r="C20" t="s">
        <v>6</v>
      </c>
      <c r="D20" t="s">
        <v>540</v>
      </c>
      <c r="E20" t="s">
        <v>599</v>
      </c>
      <c r="F20" t="s">
        <v>605</v>
      </c>
      <c r="G20" t="s">
        <v>362</v>
      </c>
      <c r="H20" t="s">
        <v>362</v>
      </c>
      <c r="I20" t="s">
        <v>362</v>
      </c>
    </row>
    <row r="21" spans="1:9">
      <c r="A21" t="s">
        <v>320</v>
      </c>
      <c r="B21" t="s">
        <v>362</v>
      </c>
      <c r="C21" t="s">
        <v>6</v>
      </c>
      <c r="D21" t="s">
        <v>540</v>
      </c>
      <c r="E21" t="s">
        <v>608</v>
      </c>
      <c r="F21" t="s">
        <v>603</v>
      </c>
      <c r="G21" t="s">
        <v>10</v>
      </c>
      <c r="H21" t="s">
        <v>362</v>
      </c>
      <c r="I21" t="s">
        <v>362</v>
      </c>
    </row>
    <row r="22" spans="1:9">
      <c r="A22" t="s">
        <v>416</v>
      </c>
      <c r="B22" t="s">
        <v>362</v>
      </c>
      <c r="C22" t="s">
        <v>6</v>
      </c>
      <c r="D22" t="s">
        <v>540</v>
      </c>
      <c r="E22" t="s">
        <v>602</v>
      </c>
      <c r="F22" t="s">
        <v>53</v>
      </c>
      <c r="G22" t="s">
        <v>362</v>
      </c>
      <c r="H22" t="s">
        <v>362</v>
      </c>
      <c r="I22" t="s">
        <v>362</v>
      </c>
    </row>
    <row r="23" spans="1:9">
      <c r="A23" t="s">
        <v>420</v>
      </c>
      <c r="B23" t="s">
        <v>362</v>
      </c>
      <c r="C23" t="s">
        <v>6</v>
      </c>
      <c r="D23" t="s">
        <v>540</v>
      </c>
      <c r="E23" t="s">
        <v>608</v>
      </c>
      <c r="F23" t="s">
        <v>611</v>
      </c>
      <c r="G23" t="s">
        <v>10</v>
      </c>
      <c r="H23" t="s">
        <v>362</v>
      </c>
      <c r="I23" t="s">
        <v>362</v>
      </c>
    </row>
    <row r="24" spans="1:9">
      <c r="A24" t="s">
        <v>424</v>
      </c>
      <c r="B24" t="s">
        <v>362</v>
      </c>
      <c r="C24" t="s">
        <v>6</v>
      </c>
      <c r="D24" t="s">
        <v>540</v>
      </c>
      <c r="E24" t="s">
        <v>602</v>
      </c>
      <c r="F24" t="s">
        <v>45</v>
      </c>
      <c r="G24" t="s">
        <v>362</v>
      </c>
      <c r="H24" t="s">
        <v>362</v>
      </c>
      <c r="I24" t="s">
        <v>362</v>
      </c>
    </row>
    <row r="25" spans="1:9">
      <c r="A25" t="s">
        <v>429</v>
      </c>
      <c r="B25" t="s">
        <v>362</v>
      </c>
      <c r="C25" t="s">
        <v>6</v>
      </c>
      <c r="D25" t="s">
        <v>540</v>
      </c>
      <c r="E25" t="s">
        <v>602</v>
      </c>
      <c r="F25" t="s">
        <v>605</v>
      </c>
      <c r="G25" t="s">
        <v>362</v>
      </c>
      <c r="H25" t="s">
        <v>362</v>
      </c>
      <c r="I25" t="s">
        <v>362</v>
      </c>
    </row>
    <row r="26" spans="1:9">
      <c r="A26" t="s">
        <v>438</v>
      </c>
      <c r="B26" t="s">
        <v>362</v>
      </c>
      <c r="C26" t="s">
        <v>6</v>
      </c>
      <c r="D26" t="s">
        <v>540</v>
      </c>
      <c r="E26" t="s">
        <v>602</v>
      </c>
      <c r="F26" t="s">
        <v>362</v>
      </c>
      <c r="G26" t="s">
        <v>362</v>
      </c>
      <c r="H26" t="s">
        <v>362</v>
      </c>
      <c r="I26" t="s">
        <v>362</v>
      </c>
    </row>
  </sheetData>
  <conditionalFormatting sqref="A11:AF999999">
    <cfRule type="expression" dxfId="37" priority="1">
      <formula>AND(A11="", $A11&lt;&gt;"", A$10&lt;&gt;"")</formula>
    </cfRule>
  </conditionalFormatting>
  <dataValidations count="1">
    <dataValidation type="list" allowBlank="1" showInputMessage="1" showErrorMessage="1" sqref="D11:D26" xr:uid="{771BE00B-9BAA-4944-B746-CA4D0947E3D6}">
      <formula1>$L$1:$L$3</formula1>
    </dataValidation>
  </dataValidation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3EAA-860F-4531-8D36-BE9C418014E0}">
  <dimension ref="A1:I10"/>
  <sheetViews>
    <sheetView workbookViewId="0">
      <pane xSplit="1" topLeftCell="B9" activePane="topRight" state="frozen"/>
      <selection pane="topRight" activeCell="D21" sqref="D21"/>
    </sheetView>
  </sheetViews>
  <sheetFormatPr defaultRowHeight="15"/>
  <cols>
    <col min="1" max="1" width="6.5703125" customWidth="1"/>
    <col min="2" max="2" width="20.42578125" customWidth="1"/>
    <col min="3" max="3" width="21.42578125" customWidth="1"/>
    <col min="4" max="4" width="21.28515625" customWidth="1"/>
    <col min="5" max="5" width="18.85546875" customWidth="1"/>
    <col min="6" max="6" width="20.140625" customWidth="1"/>
    <col min="7" max="7" width="17.85546875" customWidth="1"/>
    <col min="8" max="8" width="21.140625" customWidth="1"/>
    <col min="9" max="9" width="76" customWidth="1"/>
  </cols>
  <sheetData>
    <row r="1" spans="1:9">
      <c r="H1" t="s">
        <v>362</v>
      </c>
    </row>
    <row r="2" spans="1:9">
      <c r="H2" t="s">
        <v>550</v>
      </c>
    </row>
    <row r="3" spans="1:9">
      <c r="H3" t="s">
        <v>633</v>
      </c>
    </row>
    <row r="4" spans="1:9">
      <c r="H4" t="s">
        <v>634</v>
      </c>
    </row>
    <row r="10" spans="1:9">
      <c r="A10" t="s">
        <v>0</v>
      </c>
      <c r="B10" t="s">
        <v>700</v>
      </c>
      <c r="C10" t="s">
        <v>636</v>
      </c>
      <c r="D10" t="s">
        <v>701</v>
      </c>
      <c r="E10" t="s">
        <v>639</v>
      </c>
      <c r="F10" t="s">
        <v>640</v>
      </c>
      <c r="G10" t="s">
        <v>641</v>
      </c>
      <c r="H10" t="s">
        <v>642</v>
      </c>
      <c r="I10" t="s">
        <v>356</v>
      </c>
    </row>
  </sheetData>
  <conditionalFormatting sqref="A11:AF999999">
    <cfRule type="expression" dxfId="36" priority="1">
      <formula>AND(A11="", $A11&lt;&gt;"", A$10&lt;&gt;"")</formula>
    </cfRule>
  </conditionalFormatting>
  <dataValidations count="1">
    <dataValidation type="list" allowBlank="1" showInputMessage="1" showErrorMessage="1" sqref="H10:H46" xr:uid="{D0CDBFCF-DF64-4AF1-BE63-ECFB993333DA}">
      <formula1>$H$1:$H$4</formula1>
    </dataValidation>
  </dataValidation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opLeftCell="A9" workbookViewId="0">
      <selection activeCell="G18" sqref="G18"/>
    </sheetView>
  </sheetViews>
  <sheetFormatPr defaultRowHeight="15"/>
  <cols>
    <col min="1" max="1" width="10.85546875" style="1" bestFit="1" customWidth="1"/>
    <col min="2" max="2" width="17.5703125" style="1" bestFit="1" customWidth="1"/>
    <col min="3" max="3" width="17.5703125" style="1" customWidth="1"/>
    <col min="4" max="4" width="11.85546875" style="1" customWidth="1"/>
    <col min="5" max="5" width="8.42578125" style="1" customWidth="1"/>
    <col min="6" max="6" width="12.42578125" style="1" customWidth="1"/>
    <col min="7" max="7" width="19.7109375" style="1" customWidth="1"/>
    <col min="8" max="8" width="19" style="1" bestFit="1" customWidth="1"/>
    <col min="9" max="9" width="49.85546875" style="1" customWidth="1"/>
    <col min="10" max="16384" width="9.140625" style="1"/>
  </cols>
  <sheetData>
    <row r="1" spans="1:9">
      <c r="A1" s="1" t="s">
        <v>702</v>
      </c>
    </row>
    <row r="10" spans="1:9">
      <c r="A10" s="1" t="s">
        <v>33</v>
      </c>
      <c r="B10" s="1" t="s">
        <v>703</v>
      </c>
      <c r="C10" s="1" t="s">
        <v>704</v>
      </c>
      <c r="D10" s="1" t="s">
        <v>705</v>
      </c>
      <c r="E10" s="1" t="s">
        <v>706</v>
      </c>
      <c r="F10" s="1" t="s">
        <v>707</v>
      </c>
      <c r="G10" s="1" t="s">
        <v>708</v>
      </c>
      <c r="H10" s="1" t="s">
        <v>709</v>
      </c>
      <c r="I10" s="1" t="s">
        <v>356</v>
      </c>
    </row>
    <row r="11" spans="1:9">
      <c r="B11" s="3" t="str">
        <f>IF((A11)="", "", _xlfn.XLOOKUP(A11,Jars!A:A,Jars!R:R))</f>
        <v/>
      </c>
      <c r="C11" s="3" t="str">
        <f>IF((A11)="", "", _xlfn.XLOOKUP(A11,Jars!A:A,Jars!S:S))</f>
        <v/>
      </c>
      <c r="D11" s="1" t="s">
        <v>710</v>
      </c>
      <c r="E11" s="1" t="s">
        <v>711</v>
      </c>
      <c r="F11" s="1">
        <v>26</v>
      </c>
      <c r="G11" s="1">
        <v>75</v>
      </c>
      <c r="H11" s="1" t="s">
        <v>712</v>
      </c>
      <c r="I11" s="1" t="s">
        <v>713</v>
      </c>
    </row>
    <row r="12" spans="1:9">
      <c r="B12" s="3" t="str">
        <f>IF((A12)="", "", _xlfn.XLOOKUP(A12,Jars!A:A,Jars!R:R))</f>
        <v/>
      </c>
      <c r="C12" s="3" t="str">
        <f>IF((A12)="", "", _xlfn.XLOOKUP(A12,Jars!A:A,Jars!S:S))</f>
        <v/>
      </c>
      <c r="D12" s="1" t="s">
        <v>714</v>
      </c>
      <c r="E12" s="1" t="s">
        <v>715</v>
      </c>
      <c r="F12" s="1" t="s">
        <v>716</v>
      </c>
      <c r="G12" s="1" t="s">
        <v>717</v>
      </c>
      <c r="H12" s="1" t="s">
        <v>712</v>
      </c>
      <c r="I12" s="3" t="s">
        <v>713</v>
      </c>
    </row>
    <row r="13" spans="1:9">
      <c r="B13" s="3" t="str">
        <f>IF((A13)="", "", _xlfn.XLOOKUP(A13,Jars!A:A,Jars!R:R))</f>
        <v/>
      </c>
      <c r="C13" s="3" t="str">
        <f>IF((A13)="", "", _xlfn.XLOOKUP(A13,Jars!A:A,Jars!S:S))</f>
        <v/>
      </c>
      <c r="D13" s="1" t="s">
        <v>718</v>
      </c>
      <c r="E13" s="1" t="s">
        <v>719</v>
      </c>
      <c r="F13" s="1" t="s">
        <v>362</v>
      </c>
      <c r="G13" s="1" t="s">
        <v>720</v>
      </c>
      <c r="H13" s="3" t="s">
        <v>712</v>
      </c>
      <c r="I13" s="3" t="s">
        <v>713</v>
      </c>
    </row>
    <row r="14" spans="1:9">
      <c r="B14" s="17" t="str">
        <f>IF((A14)="", "", _xlfn.XLOOKUP(A14,Jars!A:A,Jars!R:R))</f>
        <v/>
      </c>
      <c r="C14" s="17" t="str">
        <f>IF((A14)="", "", _xlfn.XLOOKUP(A14,Jars!A:A,Jars!S:S))</f>
        <v/>
      </c>
    </row>
    <row r="15" spans="1:9">
      <c r="B15" s="17" t="str">
        <f>IF((A15)="", "", _xlfn.XLOOKUP(A15,Jars!A:A,Jars!R:R))</f>
        <v/>
      </c>
      <c r="C15" s="17" t="str">
        <f>IF((A15)="", "", _xlfn.XLOOKUP(A15,Jars!A:A,Jars!S:S))</f>
        <v/>
      </c>
    </row>
    <row r="16" spans="1:9">
      <c r="B16" s="17" t="str">
        <f>IF((A16)="", "", _xlfn.XLOOKUP(A16,Jars!A:A,Jars!R:R))</f>
        <v/>
      </c>
      <c r="C16" s="17" t="str">
        <f>IF((A16)="", "", _xlfn.XLOOKUP(A16,Jars!A:A,Jars!S:S))</f>
        <v/>
      </c>
    </row>
    <row r="17" spans="2:3">
      <c r="B17" s="17"/>
      <c r="C17" s="17" t="str">
        <f>IF((A17)="", "", _xlfn.XLOOKUP(A17,Jars!A:A,Jars!S:S))</f>
        <v/>
      </c>
    </row>
    <row r="18" spans="2:3">
      <c r="B18" s="17" t="str">
        <f>IF((A18)="", "", _xlfn.XLOOKUP(A18,Jars!A:A,Jars!R:R))</f>
        <v/>
      </c>
      <c r="C18" s="17" t="str">
        <f>IF((A18)="", "", _xlfn.XLOOKUP(A18,Jars!A:A,Jars!S:S))</f>
        <v/>
      </c>
    </row>
    <row r="19" spans="2:3">
      <c r="B19" s="17" t="str">
        <f>IF((A19)="", "", _xlfn.XLOOKUP(A19,Jars!A:A,Jars!R:R))</f>
        <v/>
      </c>
      <c r="C19" s="17" t="str">
        <f>IF((A19)="", "", _xlfn.XLOOKUP(A19,Jars!A:A,Jars!S:S))</f>
        <v/>
      </c>
    </row>
    <row r="20" spans="2:3">
      <c r="B20" s="17" t="str">
        <f>IF((A20)="", "", _xlfn.XLOOKUP(A20,Jars!A:A,Jars!R:R))</f>
        <v/>
      </c>
      <c r="C20" s="17" t="str">
        <f>IF((A20)="", "", _xlfn.XLOOKUP(A20,Jars!A:A,Jars!S:S))</f>
        <v/>
      </c>
    </row>
    <row r="21" spans="2:3">
      <c r="B21" s="17" t="str">
        <f>IF((A21)="", "", _xlfn.XLOOKUP(A21,Jars!A:A,Jars!R:R))</f>
        <v/>
      </c>
      <c r="C21" s="17" t="str">
        <f>IF((A21)="", "", _xlfn.XLOOKUP(A21,Jars!A:A,Jars!S:S))</f>
        <v/>
      </c>
    </row>
    <row r="22" spans="2:3">
      <c r="B22" s="17" t="str">
        <f>IF((A22)="", "", _xlfn.XLOOKUP(A22,Jars!A:A,Jars!R:R))</f>
        <v/>
      </c>
      <c r="C22" s="17" t="str">
        <f>IF((A22)="", "", _xlfn.XLOOKUP(A22,Jars!A:A,Jars!S:S))</f>
        <v/>
      </c>
    </row>
    <row r="23" spans="2:3">
      <c r="B23" s="17" t="str">
        <f>IF((A23)="", "", _xlfn.XLOOKUP(A23,Jars!A:A,Jars!R:R))</f>
        <v/>
      </c>
      <c r="C23" s="17" t="str">
        <f>IF((A23)="", "", _xlfn.XLOOKUP(A23,Jars!A:A,Jars!S:S))</f>
        <v/>
      </c>
    </row>
    <row r="24" spans="2:3">
      <c r="B24" s="17" t="str">
        <f>IF((A24)="", "", _xlfn.XLOOKUP(A24,Jars!A:A,Jars!R:R))</f>
        <v/>
      </c>
      <c r="C24" s="17" t="str">
        <f>IF((A24)="", "", _xlfn.XLOOKUP(A24,Jars!A:A,Jars!S:S))</f>
        <v/>
      </c>
    </row>
  </sheetData>
  <conditionalFormatting sqref="A11:AF999999">
    <cfRule type="expression" dxfId="35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0888-6848-4CC7-97C3-A4B42AE5D2E7}">
  <dimension ref="A1:P66"/>
  <sheetViews>
    <sheetView topLeftCell="H7" workbookViewId="0">
      <selection activeCell="M11" sqref="M11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28.140625" customWidth="1"/>
    <col min="7" max="7" width="16.28515625" bestFit="1" customWidth="1"/>
    <col min="8" max="8" width="31.5703125" bestFit="1" customWidth="1"/>
    <col min="9" max="9" width="10" bestFit="1" customWidth="1"/>
    <col min="10" max="11" width="12.85546875" customWidth="1"/>
    <col min="12" max="12" width="10.7109375" customWidth="1"/>
    <col min="13" max="13" width="11.5703125" customWidth="1"/>
    <col min="14" max="14" width="20.140625" customWidth="1"/>
    <col min="15" max="15" width="40.7109375" customWidth="1"/>
    <col min="17" max="17" width="10.42578125" customWidth="1"/>
    <col min="18" max="18" width="9.85546875" customWidth="1"/>
    <col min="19" max="19" width="11.5703125" bestFit="1" customWidth="1"/>
  </cols>
  <sheetData>
    <row r="1" spans="1:16" ht="15.75" customHeight="1">
      <c r="A1" t="s">
        <v>721</v>
      </c>
    </row>
    <row r="9" spans="1:16">
      <c r="A9" s="10" t="s">
        <v>722</v>
      </c>
      <c r="B9" s="10" t="s">
        <v>723</v>
      </c>
      <c r="C9" s="10" t="s">
        <v>724</v>
      </c>
      <c r="D9" s="10" t="s">
        <v>725</v>
      </c>
      <c r="E9" s="10" t="s">
        <v>726</v>
      </c>
      <c r="F9" s="10" t="s">
        <v>727</v>
      </c>
      <c r="G9" t="s">
        <v>182</v>
      </c>
      <c r="H9" s="10" t="s">
        <v>728</v>
      </c>
      <c r="I9" t="s">
        <v>182</v>
      </c>
      <c r="K9" s="10" t="s">
        <v>729</v>
      </c>
      <c r="L9" t="s">
        <v>182</v>
      </c>
      <c r="M9" s="10" t="s">
        <v>730</v>
      </c>
      <c r="N9" s="10" t="s">
        <v>730</v>
      </c>
      <c r="O9" s="10" t="s">
        <v>731</v>
      </c>
      <c r="P9" t="s">
        <v>182</v>
      </c>
    </row>
    <row r="10" spans="1:16">
      <c r="A10" t="s">
        <v>558</v>
      </c>
      <c r="B10" t="s">
        <v>342</v>
      </c>
      <c r="C10" t="s">
        <v>278</v>
      </c>
      <c r="D10" t="s">
        <v>561</v>
      </c>
      <c r="E10" t="s">
        <v>568</v>
      </c>
      <c r="F10" t="s">
        <v>567</v>
      </c>
      <c r="G10" t="s">
        <v>732</v>
      </c>
      <c r="H10" t="s">
        <v>733</v>
      </c>
      <c r="I10" t="s">
        <v>734</v>
      </c>
      <c r="K10" s="10"/>
      <c r="M10" t="s">
        <v>278</v>
      </c>
      <c r="N10" t="s">
        <v>342</v>
      </c>
      <c r="O10" t="s">
        <v>735</v>
      </c>
    </row>
    <row r="11" spans="1:16">
      <c r="A11" t="str" cm="1">
        <f t="array" aca="1" ref="A11" ca="1">_xlfn.LET(_xlpm.value, INDEX(Growing[Seeding Jar], ROW()-ROW(Growing[#Headers])), IF(_xlpm.value="", "", _xlpm.value))</f>
        <v>1</v>
      </c>
      <c r="B11">
        <f ca="1">IF(vRG_1[[#This Row],[Seeding Jar]]="", "", VALUE(_xlfn.XLOOKUP(SUBSTITUTE(vRG_1[[#This Row],[Seeding Jar]], "*", ""), Jars[Jar], Jars[Fertilizer Added (g)])))</f>
        <v>1.48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Row],[Transplant Root Length (mm)]]="", "", IFERROR(VALUE(Growing[[#This Row],[Transplant Root Length (mm)]]), ""))</f>
        <v/>
      </c>
      <c r="G11" t="str">
        <f ca="1">IFERROR(VALUE(DATEVALUE(vRG_1[[#This Row],[Transplant Date]])-DATEVALUE(vRG_1[[#This Row],[Date Seeded]])), "")</f>
        <v/>
      </c>
      <c r="H11" t="str">
        <f ca="1">IFERROR(ROUND(vRG_1[[#This Row],[Transplant Root Length (mm)]]/vRG_1[[#This Row],[Days Between]], 2), "")</f>
        <v/>
      </c>
      <c r="I11">
        <f ca="1">IF(AND(ISNUMBER(vRG_1[[#This Row],[Transplant Root Length (mm)]]),ISNUMBER(vRG_1[[#This Row],[Days Between]]),vRG_1[[#This Row],[Days Between]]&gt;0,ISNUMBER(vRG_1[[#This Row],[Fertilizer Added (g)]])), 1, 0)</f>
        <v>0</v>
      </c>
      <c r="K11" t="str" cm="1">
        <f t="array" aca="1" ref="K11:L13" ca="1">_xlfn.LET(_xlpm.data, _xlfn.UNIQUE(_xlfn._xlws.FILTER(_xlfn.HSTACK(vRG_1[Seed], vRG_1[Fertilizer Added (g)]), VALUE(vRG_1[Include])=1)), _xlfn.SORTBY(_xlpm.data, _xlfn.CHOOSECOLS(_xlpm.data, 2), 1, VALUE(_xlfn.CHOOSECOLS(_xlpm.data, 1)), 1))</f>
        <v>2178GP.53</v>
      </c>
      <c r="L11">
        <f ca="1"/>
        <v>0</v>
      </c>
      <c r="M11" t="str" cm="1">
        <f t="array" aca="1" ref="M11" ca="1">_xlfn.LET(_xlpm.value, OFFSET(INDIRECT(ADDRESS(ROW(),COLUMN())),0,-2), IF(_xlpm.value="","",_xlpm.value))</f>
        <v>2178GP.53</v>
      </c>
      <c r="N11" cm="1">
        <f t="array" aca="1" ref="N11" ca="1">_xlfn.LET(_xlpm.value, OFFSET(INDIRECT(ADDRESS(ROW(),COLUMN())),0,-2), IF(_xlpm.value="","",_xlpm.value))</f>
        <v>0</v>
      </c>
      <c r="O11">
        <f ca="1">IFERROR(ROUND(AVERAGEIFS(vRG_1[Root Length per Day (mm/day)],vRG_1[Seed],vRG_2[[#This Row],[Seed]], vRG_1[Fertilizer Added (g)], vRG_2[[#This Row],[Fertilizer Added (g)]]), 2), "")</f>
        <v>5</v>
      </c>
    </row>
    <row r="12" spans="1:16">
      <c r="A12" t="str" cm="1">
        <f t="array" aca="1" ref="A12" ca="1">_xlfn.LET(
    _xlpm.value, INDEX(Growing[Seeding Jar], ROW()-ROW(Growing[#Headers])),
    IF(_xlpm.value="", "", _xlpm.value)
)</f>
        <v>2</v>
      </c>
      <c r="B12">
        <f ca="1">IF(vRG_1[[#This Row],[Seeding Jar]]="", "", VALUE(_xlfn.XLOOKUP(SUBSTITUTE(vRG_1[[#This Row],[Seeding Jar]], "*", ""), Jars[Jar], Jars[Fertilizer Added (g)])))</f>
        <v>1.48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Row],[Transplant Root Length (mm)]]="", "", IFERROR(VALUE(Growing[[#This Row],[Transplant Root Length (mm)]]), ""))</f>
        <v/>
      </c>
      <c r="G12" t="str">
        <f ca="1">IFERROR(VALUE(DATEVALUE(vRG_1[[#This Row],[Transplant Date]])-DATEVALUE(vRG_1[[#This Row],[Date Seeded]])), "")</f>
        <v/>
      </c>
      <c r="H12" t="str">
        <f ca="1">IFERROR(ROUND(vRG_1[[#This Row],[Transplant Root Length (mm)]]/vRG_1[[#This Row],[Days Between]], 2), "")</f>
        <v/>
      </c>
      <c r="I12">
        <f ca="1">IF(AND(ISNUMBER(vRG_1[[#This Row],[Transplant Root Length (mm)]]),ISNUMBER(vRG_1[[#This Row],[Days Between]]),vRG_1[[#This Row],[Days Between]]&gt;0,ISNUMBER(vRG_1[[#This Row],[Fertilizer Added (g)]])), 1, 0)</f>
        <v>0</v>
      </c>
      <c r="K12" t="str">
        <f ca="1"/>
        <v>2178GP.53</v>
      </c>
      <c r="L12">
        <f ca="1"/>
        <v>0.17</v>
      </c>
      <c r="M12" t="str" cm="1">
        <f t="array" aca="1" ref="M12" ca="1">_xlfn.LET(_xlpm.value, OFFSET(INDIRECT(ADDRESS(ROW(),COLUMN())),0,-2), IF(_xlpm.value="","",_xlpm.value))</f>
        <v>2178GP.53</v>
      </c>
      <c r="N12" cm="1">
        <f t="array" aca="1" ref="N12" ca="1">_xlfn.LET(_xlpm.value, OFFSET(INDIRECT(ADDRESS(ROW(),COLUMN())),0,-2), IF(_xlpm.value="","",_xlpm.value))</f>
        <v>0.17</v>
      </c>
      <c r="O12">
        <f ca="1">IFERROR(ROUND(AVERAGEIFS(vRG_1[Root Length per Day (mm/day)],vRG_1[Seed],vRG_2[[#This Row],[Seed]], vRG_1[Fertilizer Added (g)], vRG_2[[#This Row],[Fertilizer Added (g)]]), 2), "")</f>
        <v>3.75</v>
      </c>
    </row>
    <row r="13" spans="1:16">
      <c r="A13" t="str" cm="1">
        <f t="array" aca="1" ref="A13" ca="1">_xlfn.LET(
    _xlpm.value, INDEX(Growing[Seeding Jar], ROW()-ROW(Growing[#Headers])),
    IF(_xlpm.value="", "", _xlpm.value)
)</f>
        <v>3</v>
      </c>
      <c r="B13">
        <f ca="1">IF(vRG_1[[#This Row],[Seeding Jar]]="", "", VALUE(_xlfn.XLOOKUP(SUBSTITUTE(vRG_1[[#This Row],[Seeding Jar]], "*", ""), Jars[Jar], Jars[Fertilizer Added (g)])))</f>
        <v>1.1100000000000001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Row],[Transplant Root Length (mm)]]="", "", IFERROR(VALUE(Growing[[#This Row],[Transplant Root Length (mm)]]), ""))</f>
        <v/>
      </c>
      <c r="G13" t="str">
        <f ca="1">IFERROR(VALUE(DATEVALUE(vRG_1[[#This Row],[Transplant Date]])-DATEVALUE(vRG_1[[#This Row],[Date Seeded]])), "")</f>
        <v/>
      </c>
      <c r="H13" t="str">
        <f ca="1">IFERROR(ROUND(vRG_1[[#This Row],[Transplant Root Length (mm)]]/vRG_1[[#This Row],[Days Between]], 2), "")</f>
        <v/>
      </c>
      <c r="I13">
        <f ca="1">IF(AND(ISNUMBER(vRG_1[[#This Row],[Transplant Root Length (mm)]]),ISNUMBER(vRG_1[[#This Row],[Days Between]]),vRG_1[[#This Row],[Days Between]]&gt;0,ISNUMBER(vRG_1[[#This Row],[Fertilizer Added (g)]])), 1, 0)</f>
        <v>0</v>
      </c>
      <c r="K13" t="str">
        <f ca="1"/>
        <v>2178GP.53</v>
      </c>
      <c r="L13">
        <f ca="1"/>
        <v>0.23</v>
      </c>
      <c r="M13" t="str" cm="1">
        <f t="array" aca="1" ref="M13" ca="1">_xlfn.LET(_xlpm.value, OFFSET(INDIRECT(ADDRESS(ROW(),COLUMN())),0,-2), IF(_xlpm.value="","",_xlpm.value))</f>
        <v>2178GP.53</v>
      </c>
      <c r="N13" cm="1">
        <f t="array" aca="1" ref="N13" ca="1">_xlfn.LET(_xlpm.value, OFFSET(INDIRECT(ADDRESS(ROW(),COLUMN())),0,-2), IF(_xlpm.value="","",_xlpm.value))</f>
        <v>0.23</v>
      </c>
      <c r="O13">
        <f ca="1">IFERROR(ROUND(AVERAGEIFS(vRG_1[Root Length per Day (mm/day)],vRG_1[Seed],vRG_2[[#This Row],[Seed]], vRG_1[Fertilizer Added (g)], vRG_2[[#This Row],[Fertilizer Added (g)]]), 2), "")</f>
        <v>7.69</v>
      </c>
    </row>
    <row r="14" spans="1:16">
      <c r="A14" t="str" cm="1">
        <f t="array" aca="1" ref="A14" ca="1">_xlfn.LET(
    _xlpm.value, INDEX(Growing[Seeding Jar], ROW()-ROW(Growing[#Headers])),
    IF(_xlpm.value="", "", _xlpm.value)
)</f>
        <v>4</v>
      </c>
      <c r="B14">
        <f ca="1">IF(vRG_1[[#This Row],[Seeding Jar]]="", "", VALUE(_xlfn.XLOOKUP(SUBSTITUTE(vRG_1[[#This Row],[Seeding Jar]], "*", ""), Jars[Jar], Jars[Fertilizer Added (g)])))</f>
        <v>1.44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Row],[Transplant Root Length (mm)]]="", "", IFERROR(VALUE(Growing[[#This Row],[Transplant Root Length (mm)]]), ""))</f>
        <v/>
      </c>
      <c r="G14" t="str">
        <f ca="1">IFERROR(VALUE(DATEVALUE(vRG_1[[#This Row],[Transplant Date]])-DATEVALUE(vRG_1[[#This Row],[Date Seeded]])), "")</f>
        <v/>
      </c>
      <c r="H14" t="str">
        <f ca="1">IFERROR(ROUND(vRG_1[[#This Row],[Transplant Root Length (mm)]]/vRG_1[[#This Row],[Days Between]], 2), "")</f>
        <v/>
      </c>
      <c r="I14">
        <f ca="1">IF(AND(ISNUMBER(vRG_1[[#This Row],[Transplant Root Length (mm)]]),ISNUMBER(vRG_1[[#This Row],[Days Between]]),vRG_1[[#This Row],[Days Between]]&gt;0,ISNUMBER(vRG_1[[#This Row],[Fertilizer Added (g)]])), 1, 0)</f>
        <v>0</v>
      </c>
      <c r="M14" t="str" cm="1">
        <f t="array" aca="1" ref="M14" ca="1">_xlfn.LET(_xlpm.value, OFFSET(INDIRECT(ADDRESS(ROW(),COLUMN())),0,-2), IF(_xlpm.value="","",_xlpm.value))</f>
        <v/>
      </c>
      <c r="N14" s="17" t="str" cm="1">
        <f t="array" aca="1" ref="N14" ca="1">_xlfn.LET(_xlpm.value, OFFSET(INDIRECT(ADDRESS(ROW(),COLUMN())),0,-2), IF(_xlpm.value="","",_xlpm.value))</f>
        <v/>
      </c>
      <c r="O14" s="17" t="str">
        <f ca="1">IFERROR(ROUND(AVERAGEIFS(vRG_1[Root Length per Day (mm/day)],vRG_1[Seed],vRG_2[[#This Row],[Seed]], vRG_1[Fertilizer Added (g)], vRG_2[[#This Row],[Fertilizer Added (g)]]), 2), "")</f>
        <v/>
      </c>
    </row>
    <row r="15" spans="1:16">
      <c r="A15" t="str" cm="1">
        <f t="array" aca="1" ref="A15" ca="1">_xlfn.LET(
    _xlpm.value, INDEX(Growing[Seeding Jar], ROW()-ROW(Growing[#Headers])),
    IF(_xlpm.value="", "", _xlpm.value)
)</f>
        <v>5</v>
      </c>
      <c r="B15">
        <f ca="1">IF(vRG_1[[#This Row],[Seeding Jar]]="", "", VALUE(_xlfn.XLOOKUP(SUBSTITUTE(vRG_1[[#This Row],[Seeding Jar]], "*", ""), Jars[Jar], Jars[Fertilizer Added (g)])))</f>
        <v>1.39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Row],[Transplant Root Length (mm)]]="", "", IFERROR(VALUE(Growing[[#This Row],[Transplant Root Length (mm)]]), ""))</f>
        <v/>
      </c>
      <c r="G15" t="str">
        <f ca="1">IFERROR(VALUE(DATEVALUE(vRG_1[[#This Row],[Transplant Date]])-DATEVALUE(vRG_1[[#This Row],[Date Seeded]])), "")</f>
        <v/>
      </c>
      <c r="H15" t="str">
        <f ca="1">IFERROR(ROUND(vRG_1[[#This Row],[Transplant Root Length (mm)]]/vRG_1[[#This Row],[Days Between]], 2), "")</f>
        <v/>
      </c>
      <c r="I15">
        <f ca="1">IF(AND(ISNUMBER(vRG_1[[#This Row],[Transplant Root Length (mm)]]),ISNUMBER(vRG_1[[#This Row],[Days Between]]),vRG_1[[#This Row],[Days Between]]&gt;0,ISNUMBER(vRG_1[[#This Row],[Fertilizer Added (g)]])), 1, 0)</f>
        <v>0</v>
      </c>
      <c r="M15" t="str" cm="1">
        <f t="array" aca="1" ref="M15" ca="1">_xlfn.LET(_xlpm.value, OFFSET(INDIRECT(ADDRESS(ROW(),COLUMN())),0,-2), IF(_xlpm.value="","",_xlpm.value))</f>
        <v/>
      </c>
      <c r="N15" s="17" t="str" cm="1">
        <f t="array" aca="1" ref="N15" ca="1">_xlfn.LET(_xlpm.value, OFFSET(INDIRECT(ADDRESS(ROW(),COLUMN())),0,-2), IF(_xlpm.value="","",_xlpm.value))</f>
        <v/>
      </c>
      <c r="O15" s="17" t="str">
        <f ca="1">IFERROR(ROUND(AVERAGEIFS(vRG_1[Root Length per Day (mm/day)],vRG_1[Seed],vRG_2[[#This Row],[Seed]], vRG_1[Fertilizer Added (g)], vRG_2[[#This Row],[Fertilizer Added (g)]]), 2), "")</f>
        <v/>
      </c>
    </row>
    <row r="16" spans="1:16">
      <c r="A16" t="str" cm="1">
        <f t="array" aca="1" ref="A16" ca="1">_xlfn.LET(
    _xlpm.value, INDEX(Growing[Seeding Jar], ROW()-ROW(Growing[#Headers])),
    IF(_xlpm.value="", "", _xlpm.value)
)</f>
        <v>6</v>
      </c>
      <c r="B16">
        <f ca="1">IF(vRG_1[[#This Row],[Seeding Jar]]="", "", VALUE(_xlfn.XLOOKUP(SUBSTITUTE(vRG_1[[#This Row],[Seeding Jar]], "*", ""), Jars[Jar], Jars[Fertilizer Added (g)])))</f>
        <v>1.4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Row],[Transplant Root Length (mm)]]="", "", IFERROR(VALUE(Growing[[#This Row],[Transplant Root Length (mm)]]), ""))</f>
        <v/>
      </c>
      <c r="G16" t="str">
        <f ca="1">IFERROR(VALUE(DATEVALUE(vRG_1[[#This Row],[Transplant Date]])-DATEVALUE(vRG_1[[#This Row],[Date Seeded]])), "")</f>
        <v/>
      </c>
      <c r="H16" t="str">
        <f ca="1">IFERROR(ROUND(vRG_1[[#This Row],[Transplant Root Length (mm)]]/vRG_1[[#This Row],[Days Between]], 2), "")</f>
        <v/>
      </c>
      <c r="I16">
        <f ca="1">IF(AND(ISNUMBER(vRG_1[[#This Row],[Transplant Root Length (mm)]]),ISNUMBER(vRG_1[[#This Row],[Days Between]]),vRG_1[[#This Row],[Days Between]]&gt;0,ISNUMBER(vRG_1[[#This Row],[Fertilizer Added (g)]])), 1, 0)</f>
        <v>0</v>
      </c>
      <c r="M16" s="17" t="str" cm="1">
        <f t="array" aca="1" ref="M16" ca="1">_xlfn.LET(_xlpm.value, OFFSET(INDIRECT(ADDRESS(ROW(),COLUMN())),0,-2), IF(_xlpm.value="","",_xlpm.value))</f>
        <v/>
      </c>
      <c r="N16" s="17" t="str" cm="1">
        <f t="array" aca="1" ref="N16" ca="1">_xlfn.LET(_xlpm.value, OFFSET(INDIRECT(ADDRESS(ROW(),COLUMN())),0,-2), IF(_xlpm.value="","",_xlpm.value))</f>
        <v/>
      </c>
      <c r="O16" s="17" t="str">
        <f ca="1">IFERROR(ROUND(AVERAGEIFS(vRG_1[Root Length per Day (mm/day)],vRG_1[Seed],vRG_2[[#This Row],[Seed]], vRG_1[Fertilizer Added (g)], vRG_2[[#This Row],[Fertilizer Added (g)]]), 2), "")</f>
        <v/>
      </c>
    </row>
    <row r="17" spans="1:15">
      <c r="A17" t="str" cm="1">
        <f t="array" aca="1" ref="A17" ca="1">_xlfn.LET(
    _xlpm.value, INDEX(Growing[Seeding Jar], ROW()-ROW(Growing[#Headers])),
    IF(_xlpm.value="", "", _xlpm.value)
)</f>
        <v>7</v>
      </c>
      <c r="B17">
        <f ca="1">IF(vRG_1[[#This Row],[Seeding Jar]]="", "", VALUE(_xlfn.XLOOKUP(SUBSTITUTE(vRG_1[[#This Row],[Seeding Jar]], "*", ""), Jars[Jar], Jars[Fertilizer Added (g)])))</f>
        <v>1.43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Row],[Transplant Root Length (mm)]]="", "", IFERROR(VALUE(Growing[[#This Row],[Transplant Root Length (mm)]]), ""))</f>
        <v/>
      </c>
      <c r="G17" t="str">
        <f ca="1">IFERROR(VALUE(DATEVALUE(vRG_1[[#This Row],[Transplant Date]])-DATEVALUE(vRG_1[[#This Row],[Date Seeded]])), "")</f>
        <v/>
      </c>
      <c r="H17" t="str">
        <f ca="1">IFERROR(ROUND(vRG_1[[#This Row],[Transplant Root Length (mm)]]/vRG_1[[#This Row],[Days Between]], 2), "")</f>
        <v/>
      </c>
      <c r="I17">
        <f ca="1">IF(AND(ISNUMBER(vRG_1[[#This Row],[Transplant Root Length (mm)]]),ISNUMBER(vRG_1[[#This Row],[Days Between]]),vRG_1[[#This Row],[Days Between]]&gt;0,ISNUMBER(vRG_1[[#This Row],[Fertilizer Added (g)]])), 1, 0)</f>
        <v>0</v>
      </c>
      <c r="M17" s="17" t="str" cm="1">
        <f t="array" aca="1" ref="M17" ca="1">_xlfn.LET(_xlpm.value, OFFSET(INDIRECT(ADDRESS(ROW(),COLUMN())),0,-2), IF(_xlpm.value="","",_xlpm.value))</f>
        <v/>
      </c>
      <c r="N17" s="17" t="str" cm="1">
        <f t="array" aca="1" ref="N17" ca="1">_xlfn.LET(_xlpm.value, OFFSET(INDIRECT(ADDRESS(ROW(),COLUMN())),0,-2), IF(_xlpm.value="","",_xlpm.value))</f>
        <v/>
      </c>
      <c r="O17" s="17" t="str">
        <f ca="1">IFERROR(ROUND(AVERAGEIFS(vRG_1[Root Length per Day (mm/day)],vRG_1[Seed],vRG_2[[#This Row],[Seed]], vRG_1[Fertilizer Added (g)], vRG_2[[#This Row],[Fertilizer Added (g)]]), 2), "")</f>
        <v/>
      </c>
    </row>
    <row r="18" spans="1:15">
      <c r="A18" t="str" cm="1">
        <f t="array" aca="1" ref="A18" ca="1">_xlfn.LET(
    _xlpm.value, INDEX(Growing[Seeding Jar], ROW()-ROW(Growing[#Headers])),
    IF(_xlpm.value="", "", _xlpm.value)
)</f>
        <v>8</v>
      </c>
      <c r="B18">
        <f ca="1">IF(vRG_1[[#This Row],[Seeding Jar]]="", "", VALUE(_xlfn.XLOOKUP(SUBSTITUTE(vRG_1[[#This Row],[Seeding Jar]], "*", ""), Jars[Jar], Jars[Fertilizer Added (g)])))</f>
        <v>1.37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Row],[Transplant Root Length (mm)]]="", "", IFERROR(VALUE(Growing[[#This Row],[Transplant Root Length (mm)]]), ""))</f>
        <v/>
      </c>
      <c r="G18" t="str">
        <f ca="1">IFERROR(VALUE(DATEVALUE(vRG_1[[#This Row],[Transplant Date]])-DATEVALUE(vRG_1[[#This Row],[Date Seeded]])), "")</f>
        <v/>
      </c>
      <c r="H18" t="str">
        <f ca="1">IFERROR(ROUND(vRG_1[[#This Row],[Transplant Root Length (mm)]]/vRG_1[[#This Row],[Days Between]], 2), "")</f>
        <v/>
      </c>
      <c r="I18">
        <f ca="1">IF(AND(ISNUMBER(vRG_1[[#This Row],[Transplant Root Length (mm)]]),ISNUMBER(vRG_1[[#This Row],[Days Between]]),vRG_1[[#This Row],[Days Between]]&gt;0,ISNUMBER(vRG_1[[#This Row],[Fertilizer Added (g)]])), 1, 0)</f>
        <v>0</v>
      </c>
      <c r="M18" s="17" t="str" cm="1">
        <f t="array" aca="1" ref="M18" ca="1">_xlfn.LET(_xlpm.value, OFFSET(INDIRECT(ADDRESS(ROW(),COLUMN())),0,-2), IF(_xlpm.value="","",_xlpm.value))</f>
        <v/>
      </c>
      <c r="N18" s="17" t="str" cm="1">
        <f t="array" aca="1" ref="N18" ca="1">_xlfn.LET(_xlpm.value, OFFSET(INDIRECT(ADDRESS(ROW(),COLUMN())),0,-2), IF(_xlpm.value="","",_xlpm.value))</f>
        <v/>
      </c>
      <c r="O18" s="17" t="str">
        <f ca="1">IFERROR(ROUND(AVERAGEIFS(vRG_1[Root Length per Day (mm/day)],vRG_1[Seed],vRG_2[[#This Row],[Seed]], vRG_1[Fertilizer Added (g)], vRG_2[[#This Row],[Fertilizer Added (g)]]), 2), "")</f>
        <v/>
      </c>
    </row>
    <row r="19" spans="1:15">
      <c r="A19" t="str" cm="1">
        <f t="array" aca="1" ref="A19" ca="1">_xlfn.LET(
    _xlpm.value, INDEX(Growing[Seeding Jar], ROW()-ROW(Growing[#Headers])),
    IF(_xlpm.value="", "", _xlpm.value)
)</f>
        <v>9</v>
      </c>
      <c r="B19">
        <f ca="1">IF(vRG_1[[#This Row],[Seeding Jar]]="", "", VALUE(_xlfn.XLOOKUP(SUBSTITUTE(vRG_1[[#This Row],[Seeding Jar]], "*", ""), Jars[Jar], Jars[Fertilizer Added (g)])))</f>
        <v>1.49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Row],[Transplant Root Length (mm)]]="", "", IFERROR(VALUE(Growing[[#This Row],[Transplant Root Length (mm)]]), ""))</f>
        <v/>
      </c>
      <c r="G19" t="str">
        <f ca="1">IFERROR(VALUE(DATEVALUE(vRG_1[[#This Row],[Transplant Date]])-DATEVALUE(vRG_1[[#This Row],[Date Seeded]])), "")</f>
        <v/>
      </c>
      <c r="H19" t="str">
        <f ca="1">IFERROR(ROUND(vRG_1[[#This Row],[Transplant Root Length (mm)]]/vRG_1[[#This Row],[Days Between]], 2), "")</f>
        <v/>
      </c>
      <c r="I19">
        <f ca="1">IF(AND(ISNUMBER(vRG_1[[#This Row],[Transplant Root Length (mm)]]),ISNUMBER(vRG_1[[#This Row],[Days Between]]),vRG_1[[#This Row],[Days Between]]&gt;0,ISNUMBER(vRG_1[[#This Row],[Fertilizer Added (g)]])), 1, 0)</f>
        <v>0</v>
      </c>
      <c r="M19" s="17" t="str" cm="1">
        <f t="array" aca="1" ref="M19" ca="1">_xlfn.LET(_xlpm.value, OFFSET(INDIRECT(ADDRESS(ROW(),COLUMN())),0,-2), IF(_xlpm.value="","",_xlpm.value))</f>
        <v/>
      </c>
      <c r="N19" s="17" t="str" cm="1">
        <f t="array" aca="1" ref="N19" ca="1">_xlfn.LET(_xlpm.value, OFFSET(INDIRECT(ADDRESS(ROW(),COLUMN())),0,-2), IF(_xlpm.value="","",_xlpm.value))</f>
        <v/>
      </c>
      <c r="O19" s="17" t="str">
        <f ca="1">IFERROR(ROUND(AVERAGEIFS(vRG_1[Root Length per Day (mm/day)],vRG_1[Seed],vRG_2[[#This Row],[Seed]], vRG_1[Fertilizer Added (g)], vRG_2[[#This Row],[Fertilizer Added (g)]]), 2), "")</f>
        <v/>
      </c>
    </row>
    <row r="20" spans="1:15">
      <c r="A20" t="str" cm="1">
        <f t="array" aca="1" ref="A20" ca="1">_xlfn.LET(
    _xlpm.value, INDEX(Growing[Seeding Jar], ROW()-ROW(Growing[#Headers])),
    IF(_xlpm.value="", "", _xlpm.value)
)</f>
        <v>10</v>
      </c>
      <c r="B20">
        <f ca="1">IF(vRG_1[[#This Row],[Seeding Jar]]="", "", VALUE(_xlfn.XLOOKUP(SUBSTITUTE(vRG_1[[#This Row],[Seeding Jar]], "*", ""), Jars[Jar], Jars[Fertilizer Added (g)])))</f>
        <v>1.39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Row],[Transplant Root Length (mm)]]="", "", IFERROR(VALUE(Growing[[#This Row],[Transplant Root Length (mm)]]), ""))</f>
        <v/>
      </c>
      <c r="G20" t="str">
        <f ca="1">IFERROR(VALUE(DATEVALUE(vRG_1[[#This Row],[Transplant Date]])-DATEVALUE(vRG_1[[#This Row],[Date Seeded]])), "")</f>
        <v/>
      </c>
      <c r="H20" t="str">
        <f ca="1">IFERROR(ROUND(vRG_1[[#This Row],[Transplant Root Length (mm)]]/vRG_1[[#This Row],[Days Between]], 2), "")</f>
        <v/>
      </c>
      <c r="I20">
        <f ca="1">IF(AND(ISNUMBER(vRG_1[[#This Row],[Transplant Root Length (mm)]]),ISNUMBER(vRG_1[[#This Row],[Days Between]]),vRG_1[[#This Row],[Days Between]]&gt;0,ISNUMBER(vRG_1[[#This Row],[Fertilizer Added (g)]])), 1, 0)</f>
        <v>0</v>
      </c>
      <c r="M20" s="17" t="str" cm="1">
        <f t="array" aca="1" ref="M20" ca="1">_xlfn.LET(_xlpm.value, OFFSET(INDIRECT(ADDRESS(ROW(),COLUMN())),0,-2), IF(_xlpm.value="","",_xlpm.value))</f>
        <v/>
      </c>
      <c r="N20" s="17" t="str" cm="1">
        <f t="array" aca="1" ref="N20" ca="1">_xlfn.LET(_xlpm.value, OFFSET(INDIRECT(ADDRESS(ROW(),COLUMN())),0,-2), IF(_xlpm.value="","",_xlpm.value))</f>
        <v/>
      </c>
      <c r="O20" s="17" t="str">
        <f ca="1">IFERROR(ROUND(AVERAGEIFS(vRG_1[Root Length per Day (mm/day)],vRG_1[Seed],vRG_2[[#This Row],[Seed]], vRG_1[Fertilizer Added (g)], vRG_2[[#This Row],[Fertilizer Added (g)]]), 2), "")</f>
        <v/>
      </c>
    </row>
    <row r="21" spans="1:15">
      <c r="A21" t="str" cm="1">
        <f t="array" aca="1" ref="A21" ca="1">_xlfn.LET(
    _xlpm.value, INDEX(Growing[Seeding Jar], ROW()-ROW(Growing[#Headers])),
    IF(_xlpm.value="", "", _xlpm.value)
)</f>
        <v>11</v>
      </c>
      <c r="B21">
        <f ca="1">IF(vRG_1[[#This Row],[Seeding Jar]]="", "", VALUE(_xlfn.XLOOKUP(SUBSTITUTE(vRG_1[[#This Row],[Seeding Jar]], "*", ""), Jars[Jar], Jars[Fertilizer Added (g)])))</f>
        <v>1.39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Row],[Transplant Root Length (mm)]]="", "", IFERROR(VALUE(Growing[[#This Row],[Transplant Root Length (mm)]]), ""))</f>
        <v/>
      </c>
      <c r="G21" t="str">
        <f ca="1">IFERROR(VALUE(DATEVALUE(vRG_1[[#This Row],[Transplant Date]])-DATEVALUE(vRG_1[[#This Row],[Date Seeded]])), "")</f>
        <v/>
      </c>
      <c r="H21" t="str">
        <f ca="1">IFERROR(ROUND(vRG_1[[#This Row],[Transplant Root Length (mm)]]/vRG_1[[#This Row],[Days Between]], 2), "")</f>
        <v/>
      </c>
      <c r="I21">
        <f ca="1">IF(AND(ISNUMBER(vRG_1[[#This Row],[Transplant Root Length (mm)]]),ISNUMBER(vRG_1[[#This Row],[Days Between]]),vRG_1[[#This Row],[Days Between]]&gt;0,ISNUMBER(vRG_1[[#This Row],[Fertilizer Added (g)]])), 1, 0)</f>
        <v>0</v>
      </c>
      <c r="M21" s="17" t="str" cm="1">
        <f t="array" aca="1" ref="M21" ca="1">_xlfn.LET(_xlpm.value, OFFSET(INDIRECT(ADDRESS(ROW(),COLUMN())),0,-2), IF(_xlpm.value="","",_xlpm.value))</f>
        <v/>
      </c>
      <c r="N21" s="17" t="str" cm="1">
        <f t="array" aca="1" ref="N21" ca="1">_xlfn.LET(_xlpm.value, OFFSET(INDIRECT(ADDRESS(ROW(),COLUMN())),0,-2), IF(_xlpm.value="","",_xlpm.value))</f>
        <v/>
      </c>
      <c r="O21" s="17" t="str">
        <f ca="1">IFERROR(ROUND(AVERAGEIFS(vRG_1[Root Length per Day (mm/day)],vRG_1[Seed],vRG_2[[#This Row],[Seed]], vRG_1[Fertilizer Added (g)], vRG_2[[#This Row],[Fertilizer Added (g)]]), 2), "")</f>
        <v/>
      </c>
    </row>
    <row r="22" spans="1:15">
      <c r="A22" t="str" cm="1">
        <f t="array" aca="1" ref="A22" ca="1">_xlfn.LET(
    _xlpm.value, INDEX(Growing[Seeding Jar], ROW()-ROW(Growing[#Headers])),
    IF(_xlpm.value="", "", _xlpm.value)
)</f>
        <v>12</v>
      </c>
      <c r="B22">
        <f ca="1">IF(vRG_1[[#This Row],[Seeding Jar]]="", "", VALUE(_xlfn.XLOOKUP(SUBSTITUTE(vRG_1[[#This Row],[Seeding Jar]], "*", ""), Jars[Jar], Jars[Fertilizer Added (g)])))</f>
        <v>1.41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Row],[Transplant Root Length (mm)]]="", "", IFERROR(VALUE(Growing[[#This Row],[Transplant Root Length (mm)]]), ""))</f>
        <v/>
      </c>
      <c r="G22" t="str">
        <f ca="1">IFERROR(VALUE(DATEVALUE(vRG_1[[#This Row],[Transplant Date]])-DATEVALUE(vRG_1[[#This Row],[Date Seeded]])), "")</f>
        <v/>
      </c>
      <c r="H22" t="str">
        <f ca="1">IFERROR(ROUND(vRG_1[[#This Row],[Transplant Root Length (mm)]]/vRG_1[[#This Row],[Days Between]], 2), "")</f>
        <v/>
      </c>
      <c r="I22">
        <f ca="1">IF(AND(ISNUMBER(vRG_1[[#This Row],[Transplant Root Length (mm)]]),ISNUMBER(vRG_1[[#This Row],[Days Between]]),vRG_1[[#This Row],[Days Between]]&gt;0,ISNUMBER(vRG_1[[#This Row],[Fertilizer Added (g)]])), 1, 0)</f>
        <v>0</v>
      </c>
      <c r="M22" s="17" t="str" cm="1">
        <f t="array" aca="1" ref="M22" ca="1">_xlfn.LET(_xlpm.value, OFFSET(INDIRECT(ADDRESS(ROW(),COLUMN())),0,-2), IF(_xlpm.value="","",_xlpm.value))</f>
        <v/>
      </c>
      <c r="N22" s="17" t="str" cm="1">
        <f t="array" aca="1" ref="N22" ca="1">_xlfn.LET(_xlpm.value, OFFSET(INDIRECT(ADDRESS(ROW(),COLUMN())),0,-2), IF(_xlpm.value="","",_xlpm.value))</f>
        <v/>
      </c>
      <c r="O22" s="17" t="str">
        <f ca="1">IFERROR(ROUND(AVERAGEIFS(vRG_1[Root Length per Day (mm/day)],vRG_1[Seed],vRG_2[[#This Row],[Seed]], vRG_1[Fertilizer Added (g)], vRG_2[[#This Row],[Fertilizer Added (g)]]), 2), "")</f>
        <v/>
      </c>
    </row>
    <row r="23" spans="1:15">
      <c r="A23" t="str" cm="1">
        <f t="array" aca="1" ref="A23" ca="1">_xlfn.LET(
    _xlpm.value, INDEX(Growing[Seeding Jar], ROW()-ROW(Growing[#Headers])),
    IF(_xlpm.value="", "", _xlpm.value)
)</f>
        <v>13</v>
      </c>
      <c r="B23">
        <f ca="1">IF(vRG_1[[#This Row],[Seeding Jar]]="", "", VALUE(_xlfn.XLOOKUP(SUBSTITUTE(vRG_1[[#This Row],[Seeding Jar]], "*", ""), Jars[Jar], Jars[Fertilizer Added (g)])))</f>
        <v>1.8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Row],[Transplant Root Length (mm)]]="", "", IFERROR(VALUE(Growing[[#This Row],[Transplant Root Length (mm)]]), ""))</f>
        <v/>
      </c>
      <c r="G23" t="str">
        <f ca="1">IFERROR(VALUE(DATEVALUE(vRG_1[[#This Row],[Transplant Date]])-DATEVALUE(vRG_1[[#This Row],[Date Seeded]])), "")</f>
        <v/>
      </c>
      <c r="H23" t="str">
        <f ca="1">IFERROR(ROUND(vRG_1[[#This Row],[Transplant Root Length (mm)]]/vRG_1[[#This Row],[Days Between]], 2), "")</f>
        <v/>
      </c>
      <c r="I23">
        <f ca="1">IF(AND(ISNUMBER(vRG_1[[#This Row],[Transplant Root Length (mm)]]),ISNUMBER(vRG_1[[#This Row],[Days Between]]),vRG_1[[#This Row],[Days Between]]&gt;0,ISNUMBER(vRG_1[[#This Row],[Fertilizer Added (g)]])), 1, 0)</f>
        <v>0</v>
      </c>
      <c r="M23" s="17" t="str" cm="1">
        <f t="array" aca="1" ref="M23" ca="1">_xlfn.LET(_xlpm.value, OFFSET(INDIRECT(ADDRESS(ROW(),COLUMN())),0,-2), IF(_xlpm.value="","",_xlpm.value))</f>
        <v/>
      </c>
      <c r="N23" s="17" t="str" cm="1">
        <f t="array" aca="1" ref="N23" ca="1">_xlfn.LET(_xlpm.value, OFFSET(INDIRECT(ADDRESS(ROW(),COLUMN())),0,-2), IF(_xlpm.value="","",_xlpm.value))</f>
        <v/>
      </c>
      <c r="O23" s="17" t="str">
        <f ca="1">IFERROR(ROUND(AVERAGEIFS(vRG_1[Root Length per Day (mm/day)],vRG_1[Seed],vRG_2[[#This Row],[Seed]], vRG_1[Fertilizer Added (g)], vRG_2[[#This Row],[Fertilizer Added (g)]]), 2), "")</f>
        <v/>
      </c>
    </row>
    <row r="24" spans="1:15">
      <c r="A24" t="str" cm="1">
        <f t="array" aca="1" ref="A24" ca="1">_xlfn.LET(
    _xlpm.value, INDEX(Growing[Seeding Jar], ROW()-ROW(Growing[#Headers])),
    IF(_xlpm.value="", "", _xlpm.value)
)</f>
        <v>14</v>
      </c>
      <c r="B24">
        <f ca="1">IF(vRG_1[[#This Row],[Seeding Jar]]="", "", VALUE(_xlfn.XLOOKUP(SUBSTITUTE(vRG_1[[#This Row],[Seeding Jar]], "*", ""), Jars[Jar], Jars[Fertilizer Added (g)])))</f>
        <v>1.4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Row],[Transplant Root Length (mm)]]="", "", IFERROR(VALUE(Growing[[#This Row],[Transplant Root Length (mm)]]), ""))</f>
        <v/>
      </c>
      <c r="G24" t="str">
        <f ca="1">IFERROR(VALUE(DATEVALUE(vRG_1[[#This Row],[Transplant Date]])-DATEVALUE(vRG_1[[#This Row],[Date Seeded]])), "")</f>
        <v/>
      </c>
      <c r="H24" t="str">
        <f ca="1">IFERROR(ROUND(vRG_1[[#This Row],[Transplant Root Length (mm)]]/vRG_1[[#This Row],[Days Between]], 2), "")</f>
        <v/>
      </c>
      <c r="I24">
        <f ca="1">IF(AND(ISNUMBER(vRG_1[[#This Row],[Transplant Root Length (mm)]]),ISNUMBER(vRG_1[[#This Row],[Days Between]]),vRG_1[[#This Row],[Days Between]]&gt;0,ISNUMBER(vRG_1[[#This Row],[Fertilizer Added (g)]])), 1, 0)</f>
        <v>0</v>
      </c>
      <c r="M24" s="17" t="str" cm="1">
        <f t="array" aca="1" ref="M24" ca="1">_xlfn.LET(_xlpm.value, OFFSET(INDIRECT(ADDRESS(ROW(),COLUMN())),0,-2), IF(_xlpm.value="","",_xlpm.value))</f>
        <v/>
      </c>
      <c r="N24" s="17" t="str" cm="1">
        <f t="array" aca="1" ref="N24" ca="1">_xlfn.LET(_xlpm.value, OFFSET(INDIRECT(ADDRESS(ROW(),COLUMN())),0,-2), IF(_xlpm.value="","",_xlpm.value))</f>
        <v/>
      </c>
      <c r="O24" s="17" t="str">
        <f ca="1">IFERROR(ROUND(AVERAGEIFS(vRG_1[Root Length per Day (mm/day)],vRG_1[Seed],vRG_2[[#This Row],[Seed]], vRG_1[Fertilizer Added (g)], vRG_2[[#This Row],[Fertilizer Added (g)]]), 2), "")</f>
        <v/>
      </c>
    </row>
    <row r="25" spans="1:15">
      <c r="A25" t="str" cm="1">
        <f t="array" aca="1" ref="A25" ca="1">_xlfn.LET(
    _xlpm.value, INDEX(Growing[Seeding Jar], ROW()-ROW(Growing[#Headers])),
    IF(_xlpm.value="", "", _xlpm.value)
)</f>
        <v>15</v>
      </c>
      <c r="B25">
        <f ca="1">IF(vRG_1[[#This Row],[Seeding Jar]]="", "", VALUE(_xlfn.XLOOKUP(SUBSTITUTE(vRG_1[[#This Row],[Seeding Jar]], "*", ""), Jars[Jar], Jars[Fertilizer Added (g)])))</f>
        <v>1.44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Row],[Transplant Root Length (mm)]]="", "", IFERROR(VALUE(Growing[[#This Row],[Transplant Root Length (mm)]]), ""))</f>
        <v/>
      </c>
      <c r="G25" t="str">
        <f ca="1">IFERROR(VALUE(DATEVALUE(vRG_1[[#This Row],[Transplant Date]])-DATEVALUE(vRG_1[[#This Row],[Date Seeded]])), "")</f>
        <v/>
      </c>
      <c r="H25" t="str">
        <f ca="1">IFERROR(ROUND(vRG_1[[#This Row],[Transplant Root Length (mm)]]/vRG_1[[#This Row],[Days Between]], 2), "")</f>
        <v/>
      </c>
      <c r="I25">
        <f ca="1">IF(AND(ISNUMBER(vRG_1[[#This Row],[Transplant Root Length (mm)]]),ISNUMBER(vRG_1[[#This Row],[Days Between]]),vRG_1[[#This Row],[Days Between]]&gt;0,ISNUMBER(vRG_1[[#This Row],[Fertilizer Added (g)]])), 1, 0)</f>
        <v>0</v>
      </c>
      <c r="M25" s="17" t="str" cm="1">
        <f t="array" aca="1" ref="M25" ca="1">_xlfn.LET(_xlpm.value, OFFSET(INDIRECT(ADDRESS(ROW(),COLUMN())),0,-2), IF(_xlpm.value="","",_xlpm.value))</f>
        <v/>
      </c>
      <c r="N25" s="17" t="str" cm="1">
        <f t="array" aca="1" ref="N25" ca="1">_xlfn.LET(_xlpm.value, OFFSET(INDIRECT(ADDRESS(ROW(),COLUMN())),0,-2), IF(_xlpm.value="","",_xlpm.value))</f>
        <v/>
      </c>
      <c r="O25" s="17" t="str">
        <f ca="1">IFERROR(ROUND(AVERAGEIFS(vRG_1[Root Length per Day (mm/day)],vRG_1[Seed],vRG_2[[#This Row],[Seed]], vRG_1[Fertilizer Added (g)], vRG_2[[#This Row],[Fertilizer Added (g)]]), 2), "")</f>
        <v/>
      </c>
    </row>
    <row r="26" spans="1:15">
      <c r="A26" t="str" cm="1">
        <f t="array" aca="1" ref="A26" ca="1">_xlfn.LET(
    _xlpm.value, INDEX(Growing[Seeding Jar], ROW()-ROW(Growing[#Headers])),
    IF(_xlpm.value="", "", _xlpm.value)
)</f>
        <v>16</v>
      </c>
      <c r="B26">
        <f ca="1">IF(vRG_1[[#This Row],[Seeding Jar]]="", "", VALUE(_xlfn.XLOOKUP(SUBSTITUTE(vRG_1[[#This Row],[Seeding Jar]], "*", ""), Jars[Jar], Jars[Fertilizer Added (g)])))</f>
        <v>1.55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Row],[Transplant Root Length (mm)]]="", "", IFERROR(VALUE(Growing[[#This Row],[Transplant Root Length (mm)]]), ""))</f>
        <v/>
      </c>
      <c r="G26" t="str">
        <f ca="1">IFERROR(VALUE(DATEVALUE(vRG_1[[#This Row],[Transplant Date]])-DATEVALUE(vRG_1[[#This Row],[Date Seeded]])), "")</f>
        <v/>
      </c>
      <c r="H26" t="str">
        <f ca="1">IFERROR(ROUND(vRG_1[[#This Row],[Transplant Root Length (mm)]]/vRG_1[[#This Row],[Days Between]], 2), "")</f>
        <v/>
      </c>
      <c r="I26">
        <f ca="1">IF(AND(ISNUMBER(vRG_1[[#This Row],[Transplant Root Length (mm)]]),ISNUMBER(vRG_1[[#This Row],[Days Between]]),vRG_1[[#This Row],[Days Between]]&gt;0,ISNUMBER(vRG_1[[#This Row],[Fertilizer Added (g)]])), 1, 0)</f>
        <v>0</v>
      </c>
      <c r="M26" s="17" t="str" cm="1">
        <f t="array" aca="1" ref="M26" ca="1">_xlfn.LET(_xlpm.value, OFFSET(INDIRECT(ADDRESS(ROW(),COLUMN())),0,-2), IF(_xlpm.value="","",_xlpm.value))</f>
        <v/>
      </c>
      <c r="N26" s="17" t="str" cm="1">
        <f t="array" aca="1" ref="N26" ca="1">_xlfn.LET(_xlpm.value, OFFSET(INDIRECT(ADDRESS(ROW(),COLUMN())),0,-2), IF(_xlpm.value="","",_xlpm.value))</f>
        <v/>
      </c>
      <c r="O26" s="17" t="str">
        <f ca="1">IFERROR(ROUND(AVERAGEIFS(vRG_1[Root Length per Day (mm/day)],vRG_1[Seed],vRG_2[[#This Row],[Seed]], vRG_1[Fertilizer Added (g)], vRG_2[[#This Row],[Fertilizer Added (g)]]), 2), "")</f>
        <v/>
      </c>
    </row>
    <row r="27" spans="1:15">
      <c r="A27" t="str" cm="1">
        <f t="array" aca="1" ref="A27" ca="1">_xlfn.LET(
    _xlpm.value, INDEX(Growing[Seeding Jar], ROW()-ROW(Growing[#Headers])),
    IF(_xlpm.value="", "", _xlpm.value)
)</f>
        <v>17</v>
      </c>
      <c r="B27">
        <f ca="1">IF(vRG_1[[#This Row],[Seeding Jar]]="", "", VALUE(_xlfn.XLOOKUP(SUBSTITUTE(vRG_1[[#This Row],[Seeding Jar]], "*", ""), Jars[Jar], Jars[Fertilizer Added (g)])))</f>
        <v>1.57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Row],[Transplant Root Length (mm)]]="", "", IFERROR(VALUE(Growing[[#This Row],[Transplant Root Length (mm)]]), ""))</f>
        <v/>
      </c>
      <c r="G27" t="str">
        <f ca="1">IFERROR(VALUE(DATEVALUE(vRG_1[[#This Row],[Transplant Date]])-DATEVALUE(vRG_1[[#This Row],[Date Seeded]])), "")</f>
        <v/>
      </c>
      <c r="H27" t="str">
        <f ca="1">IFERROR(ROUND(vRG_1[[#This Row],[Transplant Root Length (mm)]]/vRG_1[[#This Row],[Days Between]], 2), "")</f>
        <v/>
      </c>
      <c r="I27">
        <f ca="1">IF(AND(ISNUMBER(vRG_1[[#This Row],[Transplant Root Length (mm)]]),ISNUMBER(vRG_1[[#This Row],[Days Between]]),vRG_1[[#This Row],[Days Between]]&gt;0,ISNUMBER(vRG_1[[#This Row],[Fertilizer Added (g)]])), 1, 0)</f>
        <v>0</v>
      </c>
      <c r="M27" s="17" t="str" cm="1">
        <f t="array" aca="1" ref="M27" ca="1">_xlfn.LET(_xlpm.value, OFFSET(INDIRECT(ADDRESS(ROW(),COLUMN())),0,-2), IF(_xlpm.value="","",_xlpm.value))</f>
        <v/>
      </c>
      <c r="N27" s="17" t="str" cm="1">
        <f t="array" aca="1" ref="N27" ca="1">_xlfn.LET(_xlpm.value, OFFSET(INDIRECT(ADDRESS(ROW(),COLUMN())),0,-2), IF(_xlpm.value="","",_xlpm.value))</f>
        <v/>
      </c>
      <c r="O27" s="17" t="str">
        <f ca="1">IFERROR(ROUND(AVERAGEIFS(vRG_1[Root Length per Day (mm/day)],vRG_1[Seed],vRG_2[[#This Row],[Seed]], vRG_1[Fertilizer Added (g)], vRG_2[[#This Row],[Fertilizer Added (g)]]), 2), "")</f>
        <v/>
      </c>
    </row>
    <row r="28" spans="1:15">
      <c r="A28" t="str" cm="1">
        <f t="array" aca="1" ref="A28" ca="1">_xlfn.LET(
    _xlpm.value, INDEX(Growing[Seeding Jar], ROW()-ROW(Growing[#Headers])),
    IF(_xlpm.value="", "", _xlpm.value)
)</f>
        <v>22</v>
      </c>
      <c r="B28">
        <f ca="1">IF(vRG_1[[#This Row],[Seeding Jar]]="", "", VALUE(_xlfn.XLOOKUP(SUBSTITUTE(vRG_1[[#This Row],[Seeding Jar]], "*", ""), Jars[Jar], Jars[Fertilizer Added (g)])))</f>
        <v>1.83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Row],[Transplant Root Length (mm)]]="", "", IFERROR(VALUE(Growing[[#This Row],[Transplant Root Length (mm)]]), ""))</f>
        <v/>
      </c>
      <c r="G28" t="str">
        <f ca="1">IFERROR(VALUE(DATEVALUE(vRG_1[[#This Row],[Transplant Date]])-DATEVALUE(vRG_1[[#This Row],[Date Seeded]])), "")</f>
        <v/>
      </c>
      <c r="H28" t="str">
        <f ca="1">IFERROR(ROUND(vRG_1[[#This Row],[Transplant Root Length (mm)]]/vRG_1[[#This Row],[Days Between]], 2), "")</f>
        <v/>
      </c>
      <c r="I28">
        <f ca="1">IF(AND(ISNUMBER(vRG_1[[#This Row],[Transplant Root Length (mm)]]),ISNUMBER(vRG_1[[#This Row],[Days Between]]),vRG_1[[#This Row],[Days Between]]&gt;0,ISNUMBER(vRG_1[[#This Row],[Fertilizer Added (g)]])), 1, 0)</f>
        <v>0</v>
      </c>
      <c r="M28" s="17" t="str" cm="1">
        <f t="array" aca="1" ref="M28" ca="1">_xlfn.LET(_xlpm.value, OFFSET(INDIRECT(ADDRESS(ROW(),COLUMN())),0,-2), IF(_xlpm.value="","",_xlpm.value))</f>
        <v/>
      </c>
      <c r="N28" s="17" t="str" cm="1">
        <f t="array" aca="1" ref="N28" ca="1">_xlfn.LET(_xlpm.value, OFFSET(INDIRECT(ADDRESS(ROW(),COLUMN())),0,-2), IF(_xlpm.value="","",_xlpm.value))</f>
        <v/>
      </c>
      <c r="O28" s="17" t="str">
        <f ca="1">IFERROR(ROUND(AVERAGEIFS(vRG_1[Root Length per Day (mm/day)],vRG_1[Seed],vRG_2[[#This Row],[Seed]], vRG_1[Fertilizer Added (g)], vRG_2[[#This Row],[Fertilizer Added (g)]]), 2), "")</f>
        <v/>
      </c>
    </row>
    <row r="29" spans="1:15">
      <c r="A29" t="str" cm="1">
        <f t="array" aca="1" ref="A29" ca="1">_xlfn.LET(
    _xlpm.value, INDEX(Growing[Seeding Jar], ROW()-ROW(Growing[#Headers])),
    IF(_xlpm.value="", "", _xlpm.value)
)</f>
        <v>23</v>
      </c>
      <c r="B29">
        <f ca="1">IF(vRG_1[[#This Row],[Seeding Jar]]="", "", VALUE(_xlfn.XLOOKUP(SUBSTITUTE(vRG_1[[#This Row],[Seeding Jar]], "*", ""), Jars[Jar], Jars[Fertilizer Added (g)])))</f>
        <v>0.23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Row],[Transplant Root Length (mm)]]="", "", IFERROR(VALUE(Growing[[#This Row],[Transplant Root Length (mm)]]), ""))</f>
        <v/>
      </c>
      <c r="G29">
        <f ca="1">IFERROR(VALUE(DATEVALUE(vRG_1[[#This Row],[Transplant Date]])-DATEVALUE(vRG_1[[#This Row],[Date Seeded]])), "")</f>
        <v>11</v>
      </c>
      <c r="H29" t="str">
        <f ca="1">IFERROR(ROUND(vRG_1[[#This Row],[Transplant Root Length (mm)]]/vRG_1[[#This Row],[Days Between]], 2), "")</f>
        <v/>
      </c>
      <c r="I29">
        <f ca="1">IF(AND(ISNUMBER(vRG_1[[#This Row],[Transplant Root Length (mm)]]),ISNUMBER(vRG_1[[#This Row],[Days Between]]),vRG_1[[#This Row],[Days Between]]&gt;0,ISNUMBER(vRG_1[[#This Row],[Fertilizer Added (g)]])), 1, 0)</f>
        <v>0</v>
      </c>
      <c r="M29" s="17" t="str" cm="1">
        <f t="array" aca="1" ref="M29" ca="1">_xlfn.LET(_xlpm.value, OFFSET(INDIRECT(ADDRESS(ROW(),COLUMN())),0,-2), IF(_xlpm.value="","",_xlpm.value))</f>
        <v/>
      </c>
      <c r="N29" s="17" t="str" cm="1">
        <f t="array" aca="1" ref="N29" ca="1">_xlfn.LET(_xlpm.value, OFFSET(INDIRECT(ADDRESS(ROW(),COLUMN())),0,-2), IF(_xlpm.value="","",_xlpm.value))</f>
        <v/>
      </c>
      <c r="O29" s="17" t="str">
        <f ca="1">IFERROR(ROUND(AVERAGEIFS(vRG_1[Root Length per Day (mm/day)],vRG_1[Seed],vRG_2[[#This Row],[Seed]], vRG_1[Fertilizer Added (g)], vRG_2[[#This Row],[Fertilizer Added (g)]]), 2), "")</f>
        <v/>
      </c>
    </row>
    <row r="30" spans="1:15">
      <c r="A30" t="str" cm="1">
        <f t="array" aca="1" ref="A30" ca="1">_xlfn.LET(
    _xlpm.value, INDEX(Growing[Seeding Jar], ROW()-ROW(Growing[#Headers])),
    IF(_xlpm.value="", "", _xlpm.value)
)</f>
        <v>24</v>
      </c>
      <c r="B30">
        <f ca="1">IF(vRG_1[[#This Row],[Seeding Jar]]="", "", VALUE(_xlfn.XLOOKUP(SUBSTITUTE(vRG_1[[#This Row],[Seeding Jar]], "*", ""), Jars[Jar], Jars[Fertilizer Added (g)])))</f>
        <v>0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Row],[Transplant Root Length (mm)]]="", "", IFERROR(VALUE(Growing[[#This Row],[Transplant Root Length (mm)]]), ""))</f>
        <v/>
      </c>
      <c r="G30">
        <f ca="1">IFERROR(VALUE(DATEVALUE(vRG_1[[#This Row],[Transplant Date]])-DATEVALUE(vRG_1[[#This Row],[Date Seeded]])), "")</f>
        <v>10</v>
      </c>
      <c r="H30" t="str">
        <f ca="1">IFERROR(ROUND(vRG_1[[#This Row],[Transplant Root Length (mm)]]/vRG_1[[#This Row],[Days Between]], 2), "")</f>
        <v/>
      </c>
      <c r="I30">
        <f ca="1">IF(AND(ISNUMBER(vRG_1[[#This Row],[Transplant Root Length (mm)]]),ISNUMBER(vRG_1[[#This Row],[Days Between]]),vRG_1[[#This Row],[Days Between]]&gt;0,ISNUMBER(vRG_1[[#This Row],[Fertilizer Added (g)]])), 1, 0)</f>
        <v>0</v>
      </c>
      <c r="M30" s="17" t="str" cm="1">
        <f t="array" aca="1" ref="M30" ca="1">_xlfn.LET(_xlpm.value, OFFSET(INDIRECT(ADDRESS(ROW(),COLUMN())),0,-2), IF(_xlpm.value="","",_xlpm.value))</f>
        <v/>
      </c>
      <c r="N30" s="17" t="str" cm="1">
        <f t="array" aca="1" ref="N30" ca="1">_xlfn.LET(_xlpm.value, OFFSET(INDIRECT(ADDRESS(ROW(),COLUMN())),0,-2), IF(_xlpm.value="","",_xlpm.value))</f>
        <v/>
      </c>
      <c r="O30" s="17" t="str">
        <f ca="1">IFERROR(ROUND(AVERAGEIFS(vRG_1[Root Length per Day (mm/day)],vRG_1[Seed],vRG_2[[#This Row],[Seed]], vRG_1[Fertilizer Added (g)], vRG_2[[#This Row],[Fertilizer Added (g)]]), 2), "")</f>
        <v/>
      </c>
    </row>
    <row r="31" spans="1:15">
      <c r="A31" t="str" cm="1">
        <f t="array" aca="1" ref="A31" ca="1">_xlfn.LET(
    _xlpm.value, INDEX(Growing[Seeding Jar], ROW()-ROW(Growing[#Headers])),
    IF(_xlpm.value="", "", _xlpm.value)
)</f>
        <v>25</v>
      </c>
      <c r="B31">
        <f ca="1">IF(vRG_1[[#This Row],[Seeding Jar]]="", "", VALUE(_xlfn.XLOOKUP(SUBSTITUTE(vRG_1[[#This Row],[Seeding Jar]], "*", ""), Jars[Jar], Jars[Fertilizer Added (g)])))</f>
        <v>0.17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Row],[Transplant Root Length (mm)]]="", "", IFERROR(VALUE(Growing[[#This Row],[Transplant Root Length (mm)]]), ""))</f>
        <v/>
      </c>
      <c r="G31">
        <f ca="1">IFERROR(VALUE(DATEVALUE(vRG_1[[#This Row],[Transplant Date]])-DATEVALUE(vRG_1[[#This Row],[Date Seeded]])), "")</f>
        <v>10</v>
      </c>
      <c r="H31" t="str">
        <f ca="1">IFERROR(ROUND(vRG_1[[#This Row],[Transplant Root Length (mm)]]/vRG_1[[#This Row],[Days Between]], 2), "")</f>
        <v/>
      </c>
      <c r="I31">
        <f ca="1">IF(AND(ISNUMBER(vRG_1[[#This Row],[Transplant Root Length (mm)]]),ISNUMBER(vRG_1[[#This Row],[Days Between]]),vRG_1[[#This Row],[Days Between]]&gt;0,ISNUMBER(vRG_1[[#This Row],[Fertilizer Added (g)]])), 1, 0)</f>
        <v>0</v>
      </c>
      <c r="M31" s="17" t="str" cm="1">
        <f t="array" aca="1" ref="M31" ca="1">_xlfn.LET(_xlpm.value, OFFSET(INDIRECT(ADDRESS(ROW(),COLUMN())),0,-2), IF(_xlpm.value="","",_xlpm.value))</f>
        <v/>
      </c>
      <c r="N31" s="17" t="str" cm="1">
        <f t="array" aca="1" ref="N31" ca="1">_xlfn.LET(_xlpm.value, OFFSET(INDIRECT(ADDRESS(ROW(),COLUMN())),0,-2), IF(_xlpm.value="","",_xlpm.value))</f>
        <v/>
      </c>
      <c r="O31" s="17" t="str">
        <f ca="1">IFERROR(ROUND(AVERAGEIFS(vRG_1[Root Length per Day (mm/day)],vRG_1[Seed],vRG_2[[#This Row],[Seed]], vRG_1[Fertilizer Added (g)], vRG_2[[#This Row],[Fertilizer Added (g)]]), 2), "")</f>
        <v/>
      </c>
    </row>
    <row r="32" spans="1:15">
      <c r="A32" t="str" cm="1">
        <f t="array" aca="1" ref="A32" ca="1">_xlfn.LET(
    _xlpm.value, INDEX(Growing[Seeding Jar], ROW()-ROW(Growing[#Headers])),
    IF(_xlpm.value="", "", _xlpm.value)
)</f>
        <v>26</v>
      </c>
      <c r="B32">
        <f ca="1">IF(vRG_1[[#This Row],[Seeding Jar]]="", "", VALUE(_xlfn.XLOOKUP(SUBSTITUTE(vRG_1[[#This Row],[Seeding Jar]], "*", ""), Jars[Jar], Jars[Fertilizer Added (g)])))</f>
        <v>1.87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Row],[Transplant Root Length (mm)]]="", "", IFERROR(VALUE(Growing[[#This Row],[Transplant Root Length (mm)]]), ""))</f>
        <v/>
      </c>
      <c r="G32" t="str">
        <f ca="1">IFERROR(VALUE(DATEVALUE(vRG_1[[#This Row],[Transplant Date]])-DATEVALUE(vRG_1[[#This Row],[Date Seeded]])), "")</f>
        <v/>
      </c>
      <c r="H32" t="str">
        <f ca="1">IFERROR(ROUND(vRG_1[[#This Row],[Transplant Root Length (mm)]]/vRG_1[[#This Row],[Days Between]], 2), "")</f>
        <v/>
      </c>
      <c r="I32">
        <f ca="1">IF(AND(ISNUMBER(vRG_1[[#This Row],[Transplant Root Length (mm)]]),ISNUMBER(vRG_1[[#This Row],[Days Between]]),vRG_1[[#This Row],[Days Between]]&gt;0,ISNUMBER(vRG_1[[#This Row],[Fertilizer Added (g)]])), 1, 0)</f>
        <v>0</v>
      </c>
      <c r="M32" s="17" t="str" cm="1">
        <f t="array" aca="1" ref="M32" ca="1">_xlfn.LET(_xlpm.value, OFFSET(INDIRECT(ADDRESS(ROW(),COLUMN())),0,-2), IF(_xlpm.value="","",_xlpm.value))</f>
        <v/>
      </c>
      <c r="N32" s="17" t="str" cm="1">
        <f t="array" aca="1" ref="N32" ca="1">_xlfn.LET(_xlpm.value, OFFSET(INDIRECT(ADDRESS(ROW(),COLUMN())),0,-2), IF(_xlpm.value="","",_xlpm.value))</f>
        <v/>
      </c>
      <c r="O32" s="17" t="str">
        <f ca="1">IFERROR(ROUND(AVERAGEIFS(vRG_1[Root Length per Day (mm/day)],vRG_1[Seed],vRG_2[[#This Row],[Seed]], vRG_1[Fertilizer Added (g)], vRG_2[[#This Row],[Fertilizer Added (g)]]), 2), "")</f>
        <v/>
      </c>
    </row>
    <row r="33" spans="1:15">
      <c r="A33" t="str" cm="1">
        <f t="array" aca="1" ref="A33" ca="1">_xlfn.LET(
    _xlpm.value, INDEX(Growing[Seeding Jar], ROW()-ROW(Growing[#Headers])),
    IF(_xlpm.value="", "", _xlpm.value)
)</f>
        <v>23*</v>
      </c>
      <c r="B33">
        <f ca="1">IF(vRG_1[[#This Row],[Seeding Jar]]="", "", VALUE(_xlfn.XLOOKUP(SUBSTITUTE(vRG_1[[#This Row],[Seeding Jar]], "*", ""), Jars[Jar], Jars[Fertilizer Added (g)])))</f>
        <v>0.23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>
        <f ca="1">IF(Growing[[#This Row],[Transplant Root Length (mm)]]="", "", IFERROR(VALUE(Growing[[#This Row],[Transplant Root Length (mm)]]), ""))</f>
        <v>100</v>
      </c>
      <c r="G33">
        <f ca="1">IFERROR(VALUE(DATEVALUE(vRG_1[[#This Row],[Transplant Date]])-DATEVALUE(vRG_1[[#This Row],[Date Seeded]])), "")</f>
        <v>13</v>
      </c>
      <c r="H33">
        <f ca="1">IFERROR(ROUND(vRG_1[[#This Row],[Transplant Root Length (mm)]]/vRG_1[[#This Row],[Days Between]], 2), "")</f>
        <v>7.69</v>
      </c>
      <c r="I33">
        <f ca="1">IF(AND(ISNUMBER(vRG_1[[#This Row],[Transplant Root Length (mm)]]),ISNUMBER(vRG_1[[#This Row],[Days Between]]),vRG_1[[#This Row],[Days Between]]&gt;0,ISNUMBER(vRG_1[[#This Row],[Fertilizer Added (g)]])), 1, 0)</f>
        <v>1</v>
      </c>
      <c r="M33" s="17" t="str" cm="1">
        <f t="array" aca="1" ref="M33" ca="1">_xlfn.LET(_xlpm.value, OFFSET(INDIRECT(ADDRESS(ROW(),COLUMN())),0,-2), IF(_xlpm.value="","",_xlpm.value))</f>
        <v/>
      </c>
      <c r="N33" s="17" t="str" cm="1">
        <f t="array" aca="1" ref="N33" ca="1">_xlfn.LET(_xlpm.value, OFFSET(INDIRECT(ADDRESS(ROW(),COLUMN())),0,-2), IF(_xlpm.value="","",_xlpm.value))</f>
        <v/>
      </c>
      <c r="O33" s="17" t="str">
        <f ca="1">IFERROR(ROUND(AVERAGEIFS(vRG_1[Root Length per Day (mm/day)],vRG_1[Seed],vRG_2[[#This Row],[Seed]], vRG_1[Fertilizer Added (g)], vRG_2[[#This Row],[Fertilizer Added (g)]]), 2), "")</f>
        <v/>
      </c>
    </row>
    <row r="34" spans="1:15">
      <c r="A34" t="str" cm="1">
        <f t="array" aca="1" ref="A34" ca="1">_xlfn.LET(
    _xlpm.value, INDEX(Growing[Seeding Jar], ROW()-ROW(Growing[#Headers])),
    IF(_xlpm.value="", "", _xlpm.value)
)</f>
        <v>32</v>
      </c>
      <c r="B34">
        <f ca="1">IF(vRG_1[[#This Row],[Seeding Jar]]="", "", VALUE(_xlfn.XLOOKUP(SUBSTITUTE(vRG_1[[#This Row],[Seeding Jar]], "*", ""), Jars[Jar], Jars[Fertilizer Added (g)])))</f>
        <v>0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>
        <f ca="1">IF(Growing[[#This Row],[Transplant Root Length (mm)]]="", "", IFERROR(VALUE(Growing[[#This Row],[Transplant Root Length (mm)]]), ""))</f>
        <v>50</v>
      </c>
      <c r="G34">
        <f ca="1">IFERROR(VALUE(DATEVALUE(vRG_1[[#This Row],[Transplant Date]])-DATEVALUE(vRG_1[[#This Row],[Date Seeded]])), "")</f>
        <v>10</v>
      </c>
      <c r="H34">
        <f ca="1">IFERROR(ROUND(vRG_1[[#This Row],[Transplant Root Length (mm)]]/vRG_1[[#This Row],[Days Between]], 2), "")</f>
        <v>5</v>
      </c>
      <c r="I34">
        <f ca="1">IF(AND(ISNUMBER(vRG_1[[#This Row],[Transplant Root Length (mm)]]),ISNUMBER(vRG_1[[#This Row],[Days Between]]),vRG_1[[#This Row],[Days Between]]&gt;0,ISNUMBER(vRG_1[[#This Row],[Fertilizer Added (g)]])), 1, 0)</f>
        <v>1</v>
      </c>
      <c r="M34" s="17" t="str" cm="1">
        <f t="array" aca="1" ref="M34" ca="1">_xlfn.LET(_xlpm.value, OFFSET(INDIRECT(ADDRESS(ROW(),COLUMN())),0,-2), IF(_xlpm.value="","",_xlpm.value))</f>
        <v/>
      </c>
      <c r="N34" s="17" t="str" cm="1">
        <f t="array" aca="1" ref="N34" ca="1">_xlfn.LET(_xlpm.value, OFFSET(INDIRECT(ADDRESS(ROW(),COLUMN())),0,-2), IF(_xlpm.value="","",_xlpm.value))</f>
        <v/>
      </c>
      <c r="O34" s="17" t="str">
        <f ca="1">IFERROR(ROUND(AVERAGEIFS(vRG_1[Root Length per Day (mm/day)],vRG_1[Seed],vRG_2[[#This Row],[Seed]], vRG_1[Fertilizer Added (g)], vRG_2[[#This Row],[Fertilizer Added (g)]]), 2), "")</f>
        <v/>
      </c>
    </row>
    <row r="35" spans="1:15">
      <c r="A35" t="str" cm="1">
        <f t="array" aca="1" ref="A35" ca="1">_xlfn.LET(
    _xlpm.value, INDEX(Growing[Seeding Jar], ROW()-ROW(Growing[#Headers])),
    IF(_xlpm.value="", "", _xlpm.value)
)</f>
        <v>25*</v>
      </c>
      <c r="B35">
        <f ca="1">IF(vRG_1[[#This Row],[Seeding Jar]]="", "", VALUE(_xlfn.XLOOKUP(SUBSTITUTE(vRG_1[[#This Row],[Seeding Jar]], "*", ""), Jars[Jar], Jars[Fertilizer Added (g)])))</f>
        <v>0.17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>
        <f ca="1">IF(Growing[[#This Row],[Transplant Root Length (mm)]]="", "", IFERROR(VALUE(Growing[[#This Row],[Transplant Root Length (mm)]]), ""))</f>
        <v>30</v>
      </c>
      <c r="G35">
        <f ca="1">IFERROR(VALUE(DATEVALUE(vRG_1[[#This Row],[Transplant Date]])-DATEVALUE(vRG_1[[#This Row],[Date Seeded]])), "")</f>
        <v>8</v>
      </c>
      <c r="H35">
        <f ca="1">IFERROR(ROUND(vRG_1[[#This Row],[Transplant Root Length (mm)]]/vRG_1[[#This Row],[Days Between]], 2), "")</f>
        <v>3.75</v>
      </c>
      <c r="I35">
        <f ca="1">IF(AND(ISNUMBER(vRG_1[[#This Row],[Transplant Root Length (mm)]]),ISNUMBER(vRG_1[[#This Row],[Days Between]]),vRG_1[[#This Row],[Days Between]]&gt;0,ISNUMBER(vRG_1[[#This Row],[Fertilizer Added (g)]])), 1, 0)</f>
        <v>1</v>
      </c>
      <c r="M35" s="17" t="str" cm="1">
        <f t="array" aca="1" ref="M35" ca="1">_xlfn.LET(_xlpm.value, OFFSET(INDIRECT(ADDRESS(ROW(),COLUMN())),0,-2), IF(_xlpm.value="","",_xlpm.value))</f>
        <v/>
      </c>
      <c r="N35" s="17" t="str" cm="1">
        <f t="array" aca="1" ref="N35" ca="1">_xlfn.LET(_xlpm.value, OFFSET(INDIRECT(ADDRESS(ROW(),COLUMN())),0,-2), IF(_xlpm.value="","",_xlpm.value))</f>
        <v/>
      </c>
      <c r="O35" s="17" t="str">
        <f ca="1">IFERROR(ROUND(AVERAGEIFS(vRG_1[Root Length per Day (mm/day)],vRG_1[Seed],vRG_2[[#This Row],[Seed]], vRG_1[Fertilizer Added (g)], vRG_2[[#This Row],[Fertilizer Added (g)]]), 2), "")</f>
        <v/>
      </c>
    </row>
    <row r="36" spans="1:15">
      <c r="A36" t="str" cm="1">
        <f t="array" aca="1" ref="A36" ca="1">_xlfn.LET(
    _xlpm.value, INDEX(Growing[Seeding Jar], ROW()-ROW(Growing[#Headers])),
    IF(_xlpm.value="", "", _xlpm.value)
)</f>
        <v>33.1</v>
      </c>
      <c r="B36">
        <f ca="1">IF(vRG_1[[#This Row],[Seeding Jar]]="", "", VALUE(_xlfn.XLOOKUP(SUBSTITUTE(vRG_1[[#This Row],[Seeding Jar]], "*", ""), Jars[Jar], Jars[Fertilizer Added (g)])))</f>
        <v>0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Row],[Transplant Root Length (mm)]]="", "", IFERROR(VALUE(Growing[[#This Row],[Transplant Root Length (mm)]]), ""))</f>
        <v/>
      </c>
      <c r="G36" t="str">
        <f ca="1">IFERROR(VALUE(DATEVALUE(vRG_1[[#This Row],[Transplant Date]])-DATEVALUE(vRG_1[[#This Row],[Date Seeded]])), "")</f>
        <v/>
      </c>
      <c r="H36" t="str">
        <f ca="1">IFERROR(ROUND(vRG_1[[#This Row],[Transplant Root Length (mm)]]/vRG_1[[#This Row],[Days Between]], 2), "")</f>
        <v/>
      </c>
      <c r="I36">
        <f ca="1">IF(AND(ISNUMBER(vRG_1[[#This Row],[Transplant Root Length (mm)]]),ISNUMBER(vRG_1[[#This Row],[Days Between]]),vRG_1[[#This Row],[Days Between]]&gt;0,ISNUMBER(vRG_1[[#This Row],[Fertilizer Added (g)]])), 1, 0)</f>
        <v>0</v>
      </c>
      <c r="M36" s="17" t="str" cm="1">
        <f t="array" aca="1" ref="M36" ca="1">_xlfn.LET(_xlpm.value, OFFSET(INDIRECT(ADDRESS(ROW(),COLUMN())),0,-2), IF(_xlpm.value="","",_xlpm.value))</f>
        <v/>
      </c>
      <c r="N36" s="17" t="str" cm="1">
        <f t="array" aca="1" ref="N36" ca="1">_xlfn.LET(_xlpm.value, OFFSET(INDIRECT(ADDRESS(ROW(),COLUMN())),0,-2), IF(_xlpm.value="","",_xlpm.value))</f>
        <v/>
      </c>
      <c r="O36" s="17" t="str">
        <f ca="1">IFERROR(ROUND(AVERAGEIFS(vRG_1[Root Length per Day (mm/day)],vRG_1[Seed],vRG_2[[#This Row],[Seed]], vRG_1[Fertilizer Added (g)], vRG_2[[#This Row],[Fertilizer Added (g)]]), 2), "")</f>
        <v/>
      </c>
    </row>
    <row r="37" spans="1:15">
      <c r="A37" t="str" cm="1">
        <f t="array" aca="1" ref="A37" ca="1">_xlfn.LET(
    _xlpm.value, INDEX(Growing[Seeding Jar], ROW()-ROW(Growing[#Headers])),
    IF(_xlpm.value="", "", _xlpm.value)
)</f>
        <v>34.1</v>
      </c>
      <c r="B37">
        <f ca="1">IF(vRG_1[[#This Row],[Seeding Jar]]="", "", VALUE(_xlfn.XLOOKUP(SUBSTITUTE(vRG_1[[#This Row],[Seeding Jar]], "*", ""), Jars[Jar], Jars[Fertilizer Added (g)])))</f>
        <v>0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Row],[Transplant Root Length (mm)]]="", "", IFERROR(VALUE(Growing[[#This Row],[Transplant Root Length (mm)]]), ""))</f>
        <v/>
      </c>
      <c r="G37" t="str">
        <f ca="1">IFERROR(VALUE(DATEVALUE(vRG_1[[#This Row],[Transplant Date]])-DATEVALUE(vRG_1[[#This Row],[Date Seeded]])), "")</f>
        <v/>
      </c>
      <c r="H37" t="str">
        <f ca="1">IFERROR(ROUND(vRG_1[[#This Row],[Transplant Root Length (mm)]]/vRG_1[[#This Row],[Days Between]], 2), "")</f>
        <v/>
      </c>
      <c r="I3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8" spans="1:15">
      <c r="A38" t="str" cm="1">
        <f t="array" aca="1" ref="A38" ca="1">_xlfn.LET(
    _xlpm.value, INDEX(Growing[Seeding Jar], ROW()-ROW(Growing[#Headers])),
    IF(_xlpm.value="", "", _xlpm.value)
)</f>
        <v>35.1</v>
      </c>
      <c r="B38">
        <f ca="1">IF(vRG_1[[#This Row],[Seeding Jar]]="", "", VALUE(_xlfn.XLOOKUP(SUBSTITUTE(vRG_1[[#This Row],[Seeding Jar]], "*", ""), Jars[Jar], Jars[Fertilizer Added (g)])))</f>
        <v>0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Row],[Transplant Root Length (mm)]]="", "", IFERROR(VALUE(Growing[[#This Row],[Transplant Root Length (mm)]]), ""))</f>
        <v/>
      </c>
      <c r="G38" t="str">
        <f ca="1">IFERROR(VALUE(DATEVALUE(vRG_1[[#This Row],[Transplant Date]])-DATEVALUE(vRG_1[[#This Row],[Date Seeded]])), "")</f>
        <v/>
      </c>
      <c r="H38" t="str">
        <f ca="1">IFERROR(ROUND(vRG_1[[#This Row],[Transplant Root Length (mm)]]/vRG_1[[#This Row],[Days Between]], 2), "")</f>
        <v/>
      </c>
      <c r="I3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9" spans="1:15">
      <c r="A39" t="str" cm="1">
        <f t="array" aca="1" ref="A39" ca="1">_xlfn.LET(
    _xlpm.value, INDEX(Growing[Seeding Jar], ROW()-ROW(Growing[#Headers])),
    IF(_xlpm.value="", "", _xlpm.value)
)</f>
        <v>33.2</v>
      </c>
      <c r="B39">
        <f ca="1">IF(vRG_1[[#This Row],[Seeding Jar]]="", "", VALUE(_xlfn.XLOOKUP(SUBSTITUTE(vRG_1[[#This Row],[Seeding Jar]], "*", ""), Jars[Jar], Jars[Fertilizer Added (g)])))</f>
        <v>0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Row],[Transplant Root Length (mm)]]="", "", IFERROR(VALUE(Growing[[#This Row],[Transplant Root Length (mm)]]), ""))</f>
        <v/>
      </c>
      <c r="G39" t="str">
        <f ca="1">IFERROR(VALUE(DATEVALUE(vRG_1[[#This Row],[Transplant Date]])-DATEVALUE(vRG_1[[#This Row],[Date Seeded]])), "")</f>
        <v/>
      </c>
      <c r="H39" t="str">
        <f ca="1">IFERROR(ROUND(vRG_1[[#This Row],[Transplant Root Length (mm)]]/vRG_1[[#This Row],[Days Between]], 2), "")</f>
        <v/>
      </c>
      <c r="I3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0" spans="1:15">
      <c r="A40" t="str" cm="1">
        <f t="array" aca="1" ref="A40" ca="1">_xlfn.LET(
    _xlpm.value, INDEX(Growing[Seeding Jar], ROW()-ROW(Growing[#Headers])),
    IF(_xlpm.value="", "", _xlpm.value)
)</f>
        <v>34.2</v>
      </c>
      <c r="B40">
        <f ca="1">IF(vRG_1[[#This Row],[Seeding Jar]]="", "", VALUE(_xlfn.XLOOKUP(SUBSTITUTE(vRG_1[[#This Row],[Seeding Jar]], "*", ""), Jars[Jar], Jars[Fertilizer Added (g)])))</f>
        <v>0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Row],[Transplant Root Length (mm)]]="", "", IFERROR(VALUE(Growing[[#This Row],[Transplant Root Length (mm)]]), ""))</f>
        <v/>
      </c>
      <c r="G40" t="str">
        <f ca="1">IFERROR(VALUE(DATEVALUE(vRG_1[[#This Row],[Transplant Date]])-DATEVALUE(vRG_1[[#This Row],[Date Seeded]])), "")</f>
        <v/>
      </c>
      <c r="H40" t="str">
        <f ca="1">IFERROR(ROUND(vRG_1[[#This Row],[Transplant Root Length (mm)]]/vRG_1[[#This Row],[Days Between]], 2), "")</f>
        <v/>
      </c>
      <c r="I4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1" spans="1:15">
      <c r="A41" t="str" cm="1">
        <f t="array" aca="1" ref="A41" ca="1">_xlfn.LET(
    _xlpm.value, INDEX(Growing[Seeding Jar], ROW()-ROW(Growing[#Headers])),
    IF(_xlpm.value="", "", _xlpm.value)
)</f>
        <v>35.2</v>
      </c>
      <c r="B41">
        <f ca="1">IF(vRG_1[[#This Row],[Seeding Jar]]="", "", VALUE(_xlfn.XLOOKUP(SUBSTITUTE(vRG_1[[#This Row],[Seeding Jar]], "*", ""), Jars[Jar], Jars[Fertilizer Added (g)])))</f>
        <v>0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Row],[Transplant Root Length (mm)]]="", "", IFERROR(VALUE(Growing[[#This Row],[Transplant Root Length (mm)]]), ""))</f>
        <v/>
      </c>
      <c r="G41" t="str">
        <f ca="1">IFERROR(VALUE(DATEVALUE(vRG_1[[#This Row],[Transplant Date]])-DATEVALUE(vRG_1[[#This Row],[Date Seeded]])), "")</f>
        <v/>
      </c>
      <c r="H41" t="str">
        <f ca="1">IFERROR(ROUND(vRG_1[[#This Row],[Transplant Root Length (mm)]]/vRG_1[[#This Row],[Days Between]], 2), "")</f>
        <v/>
      </c>
      <c r="I4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2" spans="1:15">
      <c r="A42" t="str" cm="1">
        <f t="array" aca="1" ref="A42" ca="1">_xlfn.LET(
    _xlpm.value, INDEX(Growing[Seeding Jar], ROW()-ROW(Growing[#Headers])),
    IF(_xlpm.value="", "", _xlpm.value)
)</f>
        <v>40</v>
      </c>
      <c r="B42">
        <f ca="1">IF(vRG_1[[#This Row],[Seeding Jar]]="", "", VALUE(_xlfn.XLOOKUP(SUBSTITUTE(vRG_1[[#This Row],[Seeding Jar]], "*", ""), Jars[Jar], Jars[Fertilizer Added (g)])))</f>
        <v>0.24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Row],[Transplant Root Length (mm)]]="", "", IFERROR(VALUE(Growing[[#This Row],[Transplant Root Length (mm)]]), ""))</f>
        <v/>
      </c>
      <c r="G42" t="str">
        <f ca="1">IFERROR(VALUE(DATEVALUE(vRG_1[[#This Row],[Transplant Date]])-DATEVALUE(vRG_1[[#This Row],[Date Seeded]])), "")</f>
        <v/>
      </c>
      <c r="H42" t="str">
        <f ca="1">IFERROR(ROUND(vRG_1[[#This Row],[Transplant Root Length (mm)]]/vRG_1[[#This Row],[Days Between]], 2), "")</f>
        <v/>
      </c>
      <c r="I4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3" spans="1:15">
      <c r="A43" t="str" cm="1">
        <f t="array" aca="1" ref="A43" ca="1">_xlfn.LET(
    _xlpm.value, INDEX(Growing[Seeding Jar], ROW()-ROW(Growing[#Headers])),
    IF(_xlpm.value="", "", _xlpm.value)
)</f>
        <v>38</v>
      </c>
      <c r="B43">
        <f ca="1">IF(vRG_1[[#This Row],[Seeding Jar]]="", "", VALUE(_xlfn.XLOOKUP(SUBSTITUTE(vRG_1[[#This Row],[Seeding Jar]], "*", ""), Jars[Jar], Jars[Fertilizer Added (g)])))</f>
        <v>0.28000000000000003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Row],[Transplant Root Length (mm)]]="", "", IFERROR(VALUE(Growing[[#This Row],[Transplant Root Length (mm)]]), ""))</f>
        <v/>
      </c>
      <c r="G43" t="str">
        <f ca="1">IFERROR(VALUE(DATEVALUE(vRG_1[[#This Row],[Transplant Date]])-DATEVALUE(vRG_1[[#This Row],[Date Seeded]])), "")</f>
        <v/>
      </c>
      <c r="H43" t="str">
        <f ca="1">IFERROR(ROUND(vRG_1[[#This Row],[Transplant Root Length (mm)]]/vRG_1[[#This Row],[Days Between]], 2), "")</f>
        <v/>
      </c>
      <c r="I4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4" spans="1:15">
      <c r="A44" t="str" cm="1">
        <f t="array" aca="1" ref="A44" ca="1">_xlfn.LET(
    _xlpm.value, INDEX(Growing[Seeding Jar], ROW()-ROW(Growing[#Headers])),
    IF(_xlpm.value="", "", _xlpm.value)
)</f>
        <v>39</v>
      </c>
      <c r="B44">
        <f ca="1">IF(vRG_1[[#This Row],[Seeding Jar]]="", "", VALUE(_xlfn.XLOOKUP(SUBSTITUTE(vRG_1[[#This Row],[Seeding Jar]], "*", ""), Jars[Jar], Jars[Fertilizer Added (g)])))</f>
        <v>0.3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Row],[Transplant Root Length (mm)]]="", "", IFERROR(VALUE(Growing[[#This Row],[Transplant Root Length (mm)]]), ""))</f>
        <v/>
      </c>
      <c r="G44" t="str">
        <f ca="1">IFERROR(VALUE(DATEVALUE(vRG_1[[#This Row],[Transplant Date]])-DATEVALUE(vRG_1[[#This Row],[Date Seeded]])), "")</f>
        <v/>
      </c>
      <c r="H44" t="str">
        <f ca="1">IFERROR(ROUND(vRG_1[[#This Row],[Transplant Root Length (mm)]]/vRG_1[[#This Row],[Days Between]], 2), "")</f>
        <v/>
      </c>
      <c r="I4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5" spans="1:15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IF(vRG_1[[#This Row],[Seeding Jar]]="", "", VALUE(_xlfn.XLOOKUP(SUBSTITUTE(vRG_1[[#This Row],[Seeding Jar]], "*", ""), Jars[Jar], Jars[Fertilizer Added (g)])))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Row],[Transplant Root Length (mm)]]="", "", IFERROR(VALUE(Growing[[#This Row],[Transplant Root Length (mm)]]), ""))</f>
        <v/>
      </c>
      <c r="G45" t="str">
        <f ca="1">IFERROR(VALUE(DATEVALUE(vRG_1[[#This Row],[Transplant Date]])-DATEVALUE(vRG_1[[#This Row],[Date Seeded]])), "")</f>
        <v/>
      </c>
      <c r="H45" t="str">
        <f ca="1">IFERROR(ROUND(vRG_1[[#This Row],[Transplant Root Length (mm)]]/vRG_1[[#This Row],[Days Between]], 2), "")</f>
        <v/>
      </c>
      <c r="I4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6" spans="1:15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IF(vRG_1[[#This Row],[Seeding Jar]]="", "", VALUE(_xlfn.XLOOKUP(SUBSTITUTE(vRG_1[[#This Row],[Seeding Jar]], "*", ""), Jars[Jar], Jars[Fertilizer Added (g)])))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Row],[Transplant Root Length (mm)]]="", "", IFERROR(VALUE(Growing[[#This Row],[Transplant Root Length (mm)]]), ""))</f>
        <v/>
      </c>
      <c r="G46" t="str">
        <f ca="1">IFERROR(VALUE(DATEVALUE(vRG_1[[#This Row],[Transplant Date]])-DATEVALUE(vRG_1[[#This Row],[Date Seeded]])), "")</f>
        <v/>
      </c>
      <c r="H46" t="str">
        <f ca="1">IFERROR(ROUND(vRG_1[[#This Row],[Transplant Root Length (mm)]]/vRG_1[[#This Row],[Days Between]], 2), "")</f>
        <v/>
      </c>
      <c r="I4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7" spans="1:15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IF(vRG_1[[#This Row],[Seeding Jar]]="", "", VALUE(_xlfn.XLOOKUP(SUBSTITUTE(vRG_1[[#This Row],[Seeding Jar]], "*", ""), Jars[Jar], Jars[Fertilizer Added (g)])))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Row],[Transplant Root Length (mm)]]="", "", IFERROR(VALUE(Growing[[#This Row],[Transplant Root Length (mm)]]), ""))</f>
        <v/>
      </c>
      <c r="G47" t="str">
        <f ca="1">IFERROR(VALUE(DATEVALUE(vRG_1[[#This Row],[Transplant Date]])-DATEVALUE(vRG_1[[#This Row],[Date Seeded]])), "")</f>
        <v/>
      </c>
      <c r="H47" t="str">
        <f ca="1">IFERROR(ROUND(vRG_1[[#This Row],[Transplant Root Length (mm)]]/vRG_1[[#This Row],[Days Between]], 2), "")</f>
        <v/>
      </c>
      <c r="I4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8" spans="1:15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IF(vRG_1[[#This Row],[Seeding Jar]]="", "", VALUE(_xlfn.XLOOKUP(SUBSTITUTE(vRG_1[[#This Row],[Seeding Jar]], "*", ""), Jars[Jar], Jars[Fertilizer Added (g)])))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Row],[Transplant Root Length (mm)]]="", "", IFERROR(VALUE(Growing[[#This Row],[Transplant Root Length (mm)]]), ""))</f>
        <v/>
      </c>
      <c r="G48" t="str">
        <f ca="1">IFERROR(VALUE(DATEVALUE(vRG_1[[#This Row],[Transplant Date]])-DATEVALUE(vRG_1[[#This Row],[Date Seeded]])), "")</f>
        <v/>
      </c>
      <c r="H48" t="str">
        <f ca="1">IFERROR(ROUND(vRG_1[[#This Row],[Transplant Root Length (mm)]]/vRG_1[[#This Row],[Days Between]], 2), "")</f>
        <v/>
      </c>
      <c r="I4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9" spans="1:9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IF(vRG_1[[#This Row],[Seeding Jar]]="", "", VALUE(_xlfn.XLOOKUP(SUBSTITUTE(vRG_1[[#This Row],[Seeding Jar]], "*", ""), Jars[Jar], Jars[Fertilizer Added (g)])))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Row],[Transplant Root Length (mm)]]="", "", IFERROR(VALUE(Growing[[#This Row],[Transplant Root Length (mm)]]), ""))</f>
        <v/>
      </c>
      <c r="G49" t="str">
        <f ca="1">IFERROR(VALUE(DATEVALUE(vRG_1[[#This Row],[Transplant Date]])-DATEVALUE(vRG_1[[#This Row],[Date Seeded]])), "")</f>
        <v/>
      </c>
      <c r="H49" t="str">
        <f ca="1">IFERROR(ROUND(vRG_1[[#This Row],[Transplant Root Length (mm)]]/vRG_1[[#This Row],[Days Between]], 2), "")</f>
        <v/>
      </c>
      <c r="I4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0" spans="1:9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IF(vRG_1[[#This Row],[Seeding Jar]]="", "", VALUE(_xlfn.XLOOKUP(SUBSTITUTE(vRG_1[[#This Row],[Seeding Jar]], "*", ""), Jars[Jar], Jars[Fertilizer Added (g)])))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Row],[Transplant Root Length (mm)]]="", "", IFERROR(VALUE(Growing[[#This Row],[Transplant Root Length (mm)]]), ""))</f>
        <v/>
      </c>
      <c r="G50" t="str">
        <f ca="1">IFERROR(VALUE(DATEVALUE(vRG_1[[#This Row],[Transplant Date]])-DATEVALUE(vRG_1[[#This Row],[Date Seeded]])), "")</f>
        <v/>
      </c>
      <c r="H50" t="str">
        <f ca="1">IFERROR(ROUND(vRG_1[[#This Row],[Transplant Root Length (mm)]]/vRG_1[[#This Row],[Days Between]], 2), "")</f>
        <v/>
      </c>
      <c r="I5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1" spans="1:9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IF(vRG_1[[#This Row],[Seeding Jar]]="", "", VALUE(_xlfn.XLOOKUP(SUBSTITUTE(vRG_1[[#This Row],[Seeding Jar]], "*", ""), Jars[Jar], Jars[Fertilizer Added (g)])))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Row],[Transplant Root Length (mm)]]="", "", IFERROR(VALUE(Growing[[#This Row],[Transplant Root Length (mm)]]), ""))</f>
        <v/>
      </c>
      <c r="G51" t="str">
        <f ca="1">IFERROR(VALUE(DATEVALUE(vRG_1[[#This Row],[Transplant Date]])-DATEVALUE(vRG_1[[#This Row],[Date Seeded]])), "")</f>
        <v/>
      </c>
      <c r="H51" t="str">
        <f ca="1">IFERROR(ROUND(vRG_1[[#This Row],[Transplant Root Length (mm)]]/vRG_1[[#This Row],[Days Between]], 2), "")</f>
        <v/>
      </c>
      <c r="I5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2" spans="1:9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IF(vRG_1[[#This Row],[Seeding Jar]]="", "", VALUE(_xlfn.XLOOKUP(SUBSTITUTE(vRG_1[[#This Row],[Seeding Jar]], "*", ""), Jars[Jar], Jars[Fertilizer Added (g)])))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Row],[Transplant Root Length (mm)]]="", "", IFERROR(VALUE(Growing[[#This Row],[Transplant Root Length (mm)]]), ""))</f>
        <v/>
      </c>
      <c r="G52" t="str">
        <f ca="1">IFERROR(VALUE(DATEVALUE(vRG_1[[#This Row],[Transplant Date]])-DATEVALUE(vRG_1[[#This Row],[Date Seeded]])), "")</f>
        <v/>
      </c>
      <c r="H52" t="str">
        <f ca="1">IFERROR(ROUND(vRG_1[[#This Row],[Transplant Root Length (mm)]]/vRG_1[[#This Row],[Days Between]], 2), "")</f>
        <v/>
      </c>
      <c r="I5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3" spans="1:9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IF(vRG_1[[#This Row],[Seeding Jar]]="", "", VALUE(_xlfn.XLOOKUP(SUBSTITUTE(vRG_1[[#This Row],[Seeding Jar]], "*", ""), Jars[Jar], Jars[Fertilizer Added (g)])))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Row],[Transplant Root Length (mm)]]="", "", IFERROR(VALUE(Growing[[#This Row],[Transplant Root Length (mm)]]), ""))</f>
        <v/>
      </c>
      <c r="G53" t="str">
        <f ca="1">IFERROR(VALUE(DATEVALUE(vRG_1[[#This Row],[Transplant Date]])-DATEVALUE(vRG_1[[#This Row],[Date Seeded]])), "")</f>
        <v/>
      </c>
      <c r="H53" t="str">
        <f ca="1">IFERROR(ROUND(vRG_1[[#This Row],[Transplant Root Length (mm)]]/vRG_1[[#This Row],[Days Between]], 2), "")</f>
        <v/>
      </c>
      <c r="I5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4" spans="1:9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IF(vRG_1[[#This Row],[Seeding Jar]]="", "", VALUE(_xlfn.XLOOKUP(SUBSTITUTE(vRG_1[[#This Row],[Seeding Jar]], "*", ""), Jars[Jar], Jars[Fertilizer Added (g)])))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Row],[Transplant Root Length (mm)]]="", "", IFERROR(VALUE(Growing[[#This Row],[Transplant Root Length (mm)]]), ""))</f>
        <v/>
      </c>
      <c r="G54" t="str">
        <f ca="1">IFERROR(VALUE(DATEVALUE(vRG_1[[#This Row],[Transplant Date]])-DATEVALUE(vRG_1[[#This Row],[Date Seeded]])), "")</f>
        <v/>
      </c>
      <c r="H54" t="str">
        <f ca="1">IFERROR(ROUND(vRG_1[[#This Row],[Transplant Root Length (mm)]]/vRG_1[[#This Row],[Days Between]], 2), "")</f>
        <v/>
      </c>
      <c r="I5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5" spans="1:9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IF(vRG_1[[#This Row],[Seeding Jar]]="", "", VALUE(_xlfn.XLOOKUP(SUBSTITUTE(vRG_1[[#This Row],[Seeding Jar]], "*", ""), Jars[Jar], Jars[Fertilizer Added (g)])))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Row],[Transplant Root Length (mm)]]="", "", IFERROR(VALUE(Growing[[#This Row],[Transplant Root Length (mm)]]), ""))</f>
        <v/>
      </c>
      <c r="G55" t="str">
        <f ca="1">IFERROR(VALUE(DATEVALUE(vRG_1[[#This Row],[Transplant Date]])-DATEVALUE(vRG_1[[#This Row],[Date Seeded]])), "")</f>
        <v/>
      </c>
      <c r="H55" t="str">
        <f ca="1">IFERROR(ROUND(vRG_1[[#This Row],[Transplant Root Length (mm)]]/vRG_1[[#This Row],[Days Between]], 2), "")</f>
        <v/>
      </c>
      <c r="I5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6" spans="1:9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IF(vRG_1[[#This Row],[Seeding Jar]]="", "", VALUE(_xlfn.XLOOKUP(SUBSTITUTE(vRG_1[[#This Row],[Seeding Jar]], "*", ""), Jars[Jar], Jars[Fertilizer Added (g)])))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Row],[Transplant Root Length (mm)]]="", "", IFERROR(VALUE(Growing[[#This Row],[Transplant Root Length (mm)]]), ""))</f>
        <v/>
      </c>
      <c r="G56" t="str">
        <f ca="1">IFERROR(VALUE(DATEVALUE(vRG_1[[#This Row],[Transplant Date]])-DATEVALUE(vRG_1[[#This Row],[Date Seeded]])), "")</f>
        <v/>
      </c>
      <c r="H56" t="str">
        <f ca="1">IFERROR(ROUND(vRG_1[[#This Row],[Transplant Root Length (mm)]]/vRG_1[[#This Row],[Days Between]], 2), "")</f>
        <v/>
      </c>
      <c r="I5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7" spans="1:9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IF(vRG_1[[#This Row],[Seeding Jar]]="", "", VALUE(_xlfn.XLOOKUP(SUBSTITUTE(vRG_1[[#This Row],[Seeding Jar]], "*", ""), Jars[Jar], Jars[Fertilizer Added (g)])))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Row],[Transplant Root Length (mm)]]="", "", IFERROR(VALUE(Growing[[#This Row],[Transplant Root Length (mm)]]), ""))</f>
        <v/>
      </c>
      <c r="G57" t="str">
        <f ca="1">IFERROR(VALUE(DATEVALUE(vRG_1[[#This Row],[Transplant Date]])-DATEVALUE(vRG_1[[#This Row],[Date Seeded]])), "")</f>
        <v/>
      </c>
      <c r="H57" t="str">
        <f ca="1">IFERROR(ROUND(vRG_1[[#This Row],[Transplant Root Length (mm)]]/vRG_1[[#This Row],[Days Between]], 2), "")</f>
        <v/>
      </c>
      <c r="I5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8" spans="1:9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IF(vRG_1[[#This Row],[Seeding Jar]]="", "", VALUE(_xlfn.XLOOKUP(SUBSTITUTE(vRG_1[[#This Row],[Seeding Jar]], "*", ""), Jars[Jar], Jars[Fertilizer Added (g)])))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Row],[Transplant Root Length (mm)]]="", "", IFERROR(VALUE(Growing[[#This Row],[Transplant Root Length (mm)]]), ""))</f>
        <v/>
      </c>
      <c r="G58" t="str">
        <f ca="1">IFERROR(VALUE(DATEVALUE(vRG_1[[#This Row],[Transplant Date]])-DATEVALUE(vRG_1[[#This Row],[Date Seeded]])), "")</f>
        <v/>
      </c>
      <c r="H58" t="str">
        <f ca="1">IFERROR(ROUND(vRG_1[[#This Row],[Transplant Root Length (mm)]]/vRG_1[[#This Row],[Days Between]], 2), "")</f>
        <v/>
      </c>
      <c r="I5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9" spans="1:9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IF(vRG_1[[#This Row],[Seeding Jar]]="", "", VALUE(_xlfn.XLOOKUP(SUBSTITUTE(vRG_1[[#This Row],[Seeding Jar]], "*", ""), Jars[Jar], Jars[Fertilizer Added (g)])))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Row],[Transplant Root Length (mm)]]="", "", IFERROR(VALUE(Growing[[#This Row],[Transplant Root Length (mm)]]), ""))</f>
        <v/>
      </c>
      <c r="G59" t="str">
        <f ca="1">IFERROR(VALUE(DATEVALUE(vRG_1[[#This Row],[Transplant Date]])-DATEVALUE(vRG_1[[#This Row],[Date Seeded]])), "")</f>
        <v/>
      </c>
      <c r="H59" t="str">
        <f ca="1">IFERROR(ROUND(vRG_1[[#This Row],[Transplant Root Length (mm)]]/vRG_1[[#This Row],[Days Between]], 2), "")</f>
        <v/>
      </c>
      <c r="I5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0" spans="1:9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IF(vRG_1[[#This Row],[Seeding Jar]]="", "", VALUE(_xlfn.XLOOKUP(SUBSTITUTE(vRG_1[[#This Row],[Seeding Jar]], "*", ""), Jars[Jar], Jars[Fertilizer Added (g)])))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Row],[Transplant Root Length (mm)]]="", "", IFERROR(VALUE(Growing[[#This Row],[Transplant Root Length (mm)]]), ""))</f>
        <v/>
      </c>
      <c r="G60" t="str">
        <f ca="1">IFERROR(VALUE(DATEVALUE(vRG_1[[#This Row],[Transplant Date]])-DATEVALUE(vRG_1[[#This Row],[Date Seeded]])), "")</f>
        <v/>
      </c>
      <c r="H60" t="str">
        <f ca="1">IFERROR(ROUND(vRG_1[[#This Row],[Transplant Root Length (mm)]]/vRG_1[[#This Row],[Days Between]], 2), "")</f>
        <v/>
      </c>
      <c r="I6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1" spans="1:9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IF(vRG_1[[#This Row],[Seeding Jar]]="", "", VALUE(_xlfn.XLOOKUP(SUBSTITUTE(vRG_1[[#This Row],[Seeding Jar]], "*", ""), Jars[Jar], Jars[Fertilizer Added (g)])))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Row],[Transplant Root Length (mm)]]="", "", IFERROR(VALUE(Growing[[#This Row],[Transplant Root Length (mm)]]), ""))</f>
        <v/>
      </c>
      <c r="G61" t="str">
        <f ca="1">IFERROR(VALUE(DATEVALUE(vRG_1[[#This Row],[Transplant Date]])-DATEVALUE(vRG_1[[#This Row],[Date Seeded]])), "")</f>
        <v/>
      </c>
      <c r="H61" t="str">
        <f ca="1">IFERROR(ROUND(vRG_1[[#This Row],[Transplant Root Length (mm)]]/vRG_1[[#This Row],[Days Between]], 2), "")</f>
        <v/>
      </c>
      <c r="I6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2" spans="1:9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IF(vRG_1[[#This Row],[Seeding Jar]]="", "", VALUE(_xlfn.XLOOKUP(SUBSTITUTE(vRG_1[[#This Row],[Seeding Jar]], "*", ""), Jars[Jar], Jars[Fertilizer Added (g)])))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Row],[Transplant Root Length (mm)]]="", "", IFERROR(VALUE(Growing[[#This Row],[Transplant Root Length (mm)]]), ""))</f>
        <v/>
      </c>
      <c r="G62" t="str">
        <f ca="1">IFERROR(VALUE(DATEVALUE(vRG_1[[#This Row],[Transplant Date]])-DATEVALUE(vRG_1[[#This Row],[Date Seeded]])), "")</f>
        <v/>
      </c>
      <c r="H62" t="str">
        <f ca="1">IFERROR(ROUND(vRG_1[[#This Row],[Transplant Root Length (mm)]]/vRG_1[[#This Row],[Days Between]], 2), "")</f>
        <v/>
      </c>
      <c r="I6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3" spans="1:9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IF(vRG_1[[#This Row],[Seeding Jar]]="", "", VALUE(_xlfn.XLOOKUP(SUBSTITUTE(vRG_1[[#This Row],[Seeding Jar]], "*", ""), Jars[Jar], Jars[Fertilizer Added (g)])))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Row],[Transplant Root Length (mm)]]="", "", IFERROR(VALUE(Growing[[#This Row],[Transplant Root Length (mm)]]), ""))</f>
        <v/>
      </c>
      <c r="G63" t="str">
        <f ca="1">IFERROR(VALUE(DATEVALUE(vRG_1[[#This Row],[Transplant Date]])-DATEVALUE(vRG_1[[#This Row],[Date Seeded]])), "")</f>
        <v/>
      </c>
      <c r="H63" t="str">
        <f ca="1">IFERROR(ROUND(vRG_1[[#This Row],[Transplant Root Length (mm)]]/vRG_1[[#This Row],[Days Between]], 2), "")</f>
        <v/>
      </c>
      <c r="I6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4" spans="1:9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IF(vRG_1[[#This Row],[Seeding Jar]]="", "", VALUE(_xlfn.XLOOKUP(SUBSTITUTE(vRG_1[[#This Row],[Seeding Jar]], "*", ""), Jars[Jar], Jars[Fertilizer Added (g)])))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Row],[Transplant Root Length (mm)]]="", "", IFERROR(VALUE(Growing[[#This Row],[Transplant Root Length (mm)]]), ""))</f>
        <v/>
      </c>
      <c r="G64" t="str">
        <f ca="1">IFERROR(VALUE(DATEVALUE(vRG_1[[#This Row],[Transplant Date]])-DATEVALUE(vRG_1[[#This Row],[Date Seeded]])), "")</f>
        <v/>
      </c>
      <c r="H64" t="str">
        <f ca="1">IFERROR(ROUND(vRG_1[[#This Row],[Transplant Root Length (mm)]]/vRG_1[[#This Row],[Days Between]], 2), "")</f>
        <v/>
      </c>
      <c r="I6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5" spans="1:9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IF(vRG_1[[#This Row],[Seeding Jar]]="", "", VALUE(_xlfn.XLOOKUP(SUBSTITUTE(vRG_1[[#This Row],[Seeding Jar]], "*", ""), Jars[Jar], Jars[Fertilizer Added (g)])))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Row],[Transplant Root Length (mm)]]="", "", IFERROR(VALUE(Growing[[#This Row],[Transplant Root Length (mm)]]), ""))</f>
        <v/>
      </c>
      <c r="G65" t="str">
        <f ca="1">IFERROR(VALUE(DATEVALUE(vRG_1[[#This Row],[Transplant Date]])-DATEVALUE(vRG_1[[#This Row],[Date Seeded]])), "")</f>
        <v/>
      </c>
      <c r="H65" t="str">
        <f ca="1">IFERROR(ROUND(vRG_1[[#This Row],[Transplant Root Length (mm)]]/vRG_1[[#This Row],[Days Between]], 2), "")</f>
        <v/>
      </c>
      <c r="I6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6" spans="1:9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IF(vRG_1[[#This Row],[Seeding Jar]]="", "", VALUE(_xlfn.XLOOKUP(SUBSTITUTE(vRG_1[[#This Row],[Seeding Jar]], "*", ""), Jars[Jar], Jars[Fertilizer Added (g)])))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Row],[Transplant Root Length (mm)]]="", "", IFERROR(VALUE(Growing[[#This Row],[Transplant Root Length (mm)]]), ""))</f>
        <v/>
      </c>
      <c r="G66" t="str">
        <f ca="1">IFERROR(VALUE(DATEVALUE(vRG_1[[#This Row],[Transplant Date]])-DATEVALUE(vRG_1[[#This Row],[Date Seeded]])), "")</f>
        <v/>
      </c>
      <c r="H66" t="str">
        <f ca="1">IFERROR(ROUND(vRG_1[[#This Row],[Transplant Root Length (mm)]]/vRG_1[[#This Row],[Days Between]], 2), "")</f>
        <v/>
      </c>
      <c r="I66">
        <f ca="1">IF(AND(ISNUMBER(vRG_1[[#This Row],[Transplant Root Length (mm)]]),ISNUMBER(vRG_1[[#This Row],[Days Between]]),vRG_1[[#This Row],[Days Between]]&gt;0,ISNUMBER(vRG_1[[#This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A68C-6CDF-471F-A8E5-81562500A3B9}">
  <dimension ref="A1:Q66"/>
  <sheetViews>
    <sheetView topLeftCell="A9" workbookViewId="0">
      <selection activeCell="A10" sqref="A10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17.85546875" customWidth="1"/>
    <col min="7" max="7" width="28.140625" customWidth="1"/>
    <col min="8" max="8" width="16.28515625" bestFit="1" customWidth="1"/>
    <col min="9" max="9" width="31.5703125" bestFit="1" customWidth="1"/>
    <col min="10" max="10" width="10" bestFit="1" customWidth="1"/>
    <col min="11" max="12" width="12.85546875" customWidth="1"/>
    <col min="13" max="13" width="10.7109375" customWidth="1"/>
    <col min="14" max="14" width="11.5703125" customWidth="1"/>
    <col min="15" max="15" width="20.140625" customWidth="1"/>
    <col min="16" max="16" width="40.7109375" customWidth="1"/>
    <col min="18" max="18" width="10.42578125" customWidth="1"/>
    <col min="19" max="19" width="9.85546875" customWidth="1"/>
    <col min="20" max="20" width="11.5703125" bestFit="1" customWidth="1"/>
  </cols>
  <sheetData>
    <row r="1" spans="1:17" ht="15.75" customHeight="1">
      <c r="A1" t="s">
        <v>736</v>
      </c>
    </row>
    <row r="9" spans="1:17">
      <c r="A9" s="10" t="s">
        <v>722</v>
      </c>
      <c r="B9" t="s">
        <v>723</v>
      </c>
      <c r="C9" s="10" t="s">
        <v>724</v>
      </c>
      <c r="D9" s="10" t="s">
        <v>725</v>
      </c>
      <c r="E9" s="10" t="s">
        <v>726</v>
      </c>
      <c r="F9" s="10"/>
      <c r="G9" s="10" t="s">
        <v>727</v>
      </c>
      <c r="H9" t="s">
        <v>182</v>
      </c>
      <c r="I9" s="10" t="s">
        <v>728</v>
      </c>
      <c r="J9" t="s">
        <v>182</v>
      </c>
      <c r="L9" s="10" t="s">
        <v>729</v>
      </c>
      <c r="M9" t="s">
        <v>182</v>
      </c>
      <c r="N9" s="10" t="s">
        <v>730</v>
      </c>
      <c r="O9" s="10" t="s">
        <v>730</v>
      </c>
      <c r="P9" t="s">
        <v>731</v>
      </c>
      <c r="Q9" t="s">
        <v>182</v>
      </c>
    </row>
    <row r="10" spans="1:17">
      <c r="A10" t="s">
        <v>558</v>
      </c>
      <c r="B10" t="s">
        <v>342</v>
      </c>
      <c r="C10" t="s">
        <v>278</v>
      </c>
      <c r="D10" t="s">
        <v>561</v>
      </c>
      <c r="E10" t="s">
        <v>568</v>
      </c>
      <c r="F10" t="s">
        <v>580</v>
      </c>
      <c r="G10" t="s">
        <v>691</v>
      </c>
      <c r="H10" t="s">
        <v>732</v>
      </c>
      <c r="I10" t="s">
        <v>733</v>
      </c>
      <c r="J10" t="s">
        <v>734</v>
      </c>
      <c r="L10" s="10"/>
      <c r="N10" t="s">
        <v>278</v>
      </c>
      <c r="O10" t="s">
        <v>342</v>
      </c>
      <c r="P10" t="s">
        <v>735</v>
      </c>
    </row>
    <row r="11" spans="1:17">
      <c r="A11" t="str" cm="1">
        <f t="array" aca="1" ref="A11" ca="1">_xlfn.LET(_xlpm.value, INDEX(Growing[Seeding Jar], ROW()-ROW(Growing[#Headers])), IF(_xlpm.value="", "", _xlpm.value))</f>
        <v>1</v>
      </c>
      <c r="B11">
        <f ca="1">IF(vLS_1[[#This Row],[Seeding Jar]]="", "", VALUE(_xlfn.XLOOKUP(SUBSTITUTE(vLS_1[[#This Row],[Seeding Jar]], "*", ""), Jars[Jar], Jars[Fertilizer Added (g)])))</f>
        <v>1.48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Row],[Date Terminated]]="", "", TEXT(Growing[[#This Row],[Date Terminated]], "YYYY-MM-dd"))</f>
        <v>2026-07-26</v>
      </c>
      <c r="G11" t="str">
        <f ca="1">IF(Growing[[#This Row],[Final Root Length (mm)]]="", "", IFERROR(VALUE(Growing[[#This Row],[Final Root Length (mm)]]), ""))</f>
        <v/>
      </c>
      <c r="H11" t="str">
        <f ca="1">IFERROR(VALUE(DATEVALUE(vLS_1[[#This Row],[Date Terminated]])-DATEVALUE(vLS_1[[#This Row],[Transplant Date]])), "")</f>
        <v/>
      </c>
      <c r="I11" t="str">
        <f ca="1">IFERROR(ROUND(vLS_1[[#This Row],[Final Root Length (mm)]]/vLS_1[[#This Row],[Days Between]], 2), "")</f>
        <v/>
      </c>
      <c r="J11">
        <f ca="1">IF(AND(ISNUMBER(vLS_1[[#This Row],[Final Root Length (mm)]]),ISNUMBER(vLS_1[[#This Row],[Days Between]]),vLS_1[[#This Row],[Days Between]]&gt;0,ISNUMBER(vLS_1[[#This Row],[Fertilizer Added (g)]])), 1, 0)</f>
        <v>0</v>
      </c>
      <c r="L11" t="e" cm="1" vm="1">
        <f t="array" aca="1" ref="L11" ca="1">_xlfn.LET(_xlpm.data, _xlfn.UNIQUE(_xlfn._xlws.FILTER(_xlfn.HSTACK(vLS_1[Seed], vLS_1[Fertilizer Added (g)]), VALUE(vLS_1[Include])=1)), _xlfn.SORTBY(_xlpm.data, _xlfn.CHOOSECOLS(_xlpm.data, 2), 1, VALUE(_xlfn.CHOOSECOLS(_xlpm.data, 1)), 1))</f>
        <v>#VALUE!</v>
      </c>
      <c r="N11" t="e" cm="1" vm="2">
        <f t="array" aca="1" ref="N11" ca="1">_xlfn.LET(_xlpm.value, OFFSET(INDIRECT(ADDRESS(ROW(),COLUMN())),0,-2), IF(_xlpm.value="","",_xlpm.value))</f>
        <v>#VALUE!</v>
      </c>
      <c r="O11" t="str" cm="1">
        <f t="array" aca="1" ref="O11" ca="1">_xlfn.LET(_xlpm.value, OFFSET(INDIRECT(ADDRESS(ROW(),COLUMN())),0,-2), IF(_xlpm.value="","",_xlpm.value))</f>
        <v/>
      </c>
      <c r="P11" t="str">
        <f ca="1">IFERROR(ROUND(AVERAGEIFS(vLS_1[Root Length per Day (mm/day)],vLS_1[Seed],vLS_2[[#This Row],[Seed]], vLS_1[Fertilizer Added (g)], vLS_2[[#This Row],[Fertilizer Added (g)]]), 2), "")</f>
        <v/>
      </c>
    </row>
    <row r="12" spans="1:17">
      <c r="A12" t="str" cm="1">
        <f t="array" aca="1" ref="A12" ca="1">_xlfn.LET(
    _xlpm.value, INDEX(Growing[Seeding Jar], ROW()-ROW(Growing[#Headers])),
    IF(_xlpm.value="", "", _xlpm.value)
)</f>
        <v>2</v>
      </c>
      <c r="B12">
        <f ca="1">IF(vLS_1[[#This Row],[Seeding Jar]]="", "", VALUE(_xlfn.XLOOKUP(SUBSTITUTE(vLS_1[[#This Row],[Seeding Jar]], "*", ""), Jars[Jar], Jars[Fertilizer Added (g)])))</f>
        <v>1.48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Row],[Date Terminated]]="", "", TEXT(Growing[[#This Row],[Date Terminated]], "YYYY-MM-dd"))</f>
        <v>2026-07-12</v>
      </c>
      <c r="G12" t="str">
        <f ca="1">IF(Growing[[#This Row],[Final Root Length (mm)]]="", "", IFERROR(VALUE(Growing[[#This Row],[Final Root Length (mm)]]), ""))</f>
        <v/>
      </c>
      <c r="H12" t="str">
        <f ca="1">IFERROR(VALUE(DATEVALUE(vLS_1[[#This Row],[Date Terminated]])-DATEVALUE(vLS_1[[#This Row],[Transplant Date]])), "")</f>
        <v/>
      </c>
      <c r="I12" t="str">
        <f ca="1">IFERROR(ROUND(vLS_1[[#This Row],[Final Root Length (mm)]]/vLS_1[[#This Row],[Days Between]], 2), "")</f>
        <v/>
      </c>
      <c r="J12">
        <f ca="1">IF(AND(ISNUMBER(vLS_1[[#This Row],[Final Root Length (mm)]]),ISNUMBER(vLS_1[[#This Row],[Days Between]]),vLS_1[[#This Row],[Days Between]]&gt;0,ISNUMBER(vLS_1[[#This Row],[Fertilizer Added (g)]])), 1, 0)</f>
        <v>0</v>
      </c>
      <c r="N12" t="str" cm="1">
        <f t="array" aca="1" ref="N12" ca="1">_xlfn.LET(_xlpm.value, OFFSET(INDIRECT(ADDRESS(ROW(),COLUMN())),0,-2), IF(_xlpm.value="","",_xlpm.value))</f>
        <v/>
      </c>
      <c r="O12" t="str" cm="1">
        <f t="array" aca="1" ref="O12" ca="1">_xlfn.LET(_xlpm.value, OFFSET(INDIRECT(ADDRESS(ROW(),COLUMN())),0,-2), IF(_xlpm.value="","",_xlpm.value))</f>
        <v/>
      </c>
      <c r="P12" t="str">
        <f ca="1">IFERROR(ROUND(AVERAGEIFS(vLS_1[Root Length per Day (mm/day)],vLS_1[Seed],vLS_2[[#This Row],[Seed]], vLS_1[Fertilizer Added (g)], vLS_2[[#This Row],[Fertilizer Added (g)]]), 2), "")</f>
        <v/>
      </c>
    </row>
    <row r="13" spans="1:17">
      <c r="A13" t="str" cm="1">
        <f t="array" aca="1" ref="A13" ca="1">_xlfn.LET(
    _xlpm.value, INDEX(Growing[Seeding Jar], ROW()-ROW(Growing[#Headers])),
    IF(_xlpm.value="", "", _xlpm.value)
)</f>
        <v>3</v>
      </c>
      <c r="B13">
        <f ca="1">IF(vLS_1[[#This Row],[Seeding Jar]]="", "", VALUE(_xlfn.XLOOKUP(SUBSTITUTE(vLS_1[[#This Row],[Seeding Jar]], "*", ""), Jars[Jar], Jars[Fertilizer Added (g)])))</f>
        <v>1.1100000000000001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Row],[Date Terminated]]="", "", TEXT(Growing[[#This Row],[Date Terminated]], "YYYY-MM-dd"))</f>
        <v>2026-07-12</v>
      </c>
      <c r="G13" t="str">
        <f ca="1">IF(Growing[[#This Row],[Final Root Length (mm)]]="", "", IFERROR(VALUE(Growing[[#This Row],[Final Root Length (mm)]]), ""))</f>
        <v/>
      </c>
      <c r="H13" t="str">
        <f ca="1">IFERROR(VALUE(DATEVALUE(vLS_1[[#This Row],[Date Terminated]])-DATEVALUE(vLS_1[[#This Row],[Transplant Date]])), "")</f>
        <v/>
      </c>
      <c r="I13" t="str">
        <f ca="1">IFERROR(ROUND(vLS_1[[#This Row],[Final Root Length (mm)]]/vLS_1[[#This Row],[Days Between]], 2), "")</f>
        <v/>
      </c>
      <c r="J13">
        <f ca="1">IF(AND(ISNUMBER(vLS_1[[#This Row],[Final Root Length (mm)]]),ISNUMBER(vLS_1[[#This Row],[Days Between]]),vLS_1[[#This Row],[Days Between]]&gt;0,ISNUMBER(vLS_1[[#This Row],[Fertilizer Added (g)]])), 1, 0)</f>
        <v>0</v>
      </c>
      <c r="N13" t="str" cm="1">
        <f t="array" aca="1" ref="N13" ca="1">_xlfn.LET(_xlpm.value, OFFSET(INDIRECT(ADDRESS(ROW(),COLUMN())),0,-2), IF(_xlpm.value="","",_xlpm.value))</f>
        <v/>
      </c>
      <c r="O13" t="str" cm="1">
        <f t="array" aca="1" ref="O13" ca="1">_xlfn.LET(_xlpm.value, OFFSET(INDIRECT(ADDRESS(ROW(),COLUMN())),0,-2), IF(_xlpm.value="","",_xlpm.value))</f>
        <v/>
      </c>
      <c r="P13" t="str">
        <f ca="1">IFERROR(ROUND(AVERAGEIFS(vLS_1[Root Length per Day (mm/day)],vLS_1[Seed],vLS_2[[#This Row],[Seed]], vLS_1[Fertilizer Added (g)], vLS_2[[#This Row],[Fertilizer Added (g)]]), 2), "")</f>
        <v/>
      </c>
    </row>
    <row r="14" spans="1:17">
      <c r="A14" t="str" cm="1">
        <f t="array" aca="1" ref="A14" ca="1">_xlfn.LET(
    _xlpm.value, INDEX(Growing[Seeding Jar], ROW()-ROW(Growing[#Headers])),
    IF(_xlpm.value="", "", _xlpm.value)
)</f>
        <v>4</v>
      </c>
      <c r="B14">
        <f ca="1">IF(vLS_1[[#This Row],[Seeding Jar]]="", "", VALUE(_xlfn.XLOOKUP(SUBSTITUTE(vLS_1[[#This Row],[Seeding Jar]], "*", ""), Jars[Jar], Jars[Fertilizer Added (g)])))</f>
        <v>1.44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Row],[Date Terminated]]="", "", TEXT(Growing[[#This Row],[Date Terminated]], "YYYY-MM-dd"))</f>
        <v>2026-07-26</v>
      </c>
      <c r="G14" t="str">
        <f ca="1">IF(Growing[[#This Row],[Final Root Length (mm)]]="", "", IFERROR(VALUE(Growing[[#This Row],[Final Root Length (mm)]]), ""))</f>
        <v/>
      </c>
      <c r="H14" t="str">
        <f ca="1">IFERROR(VALUE(DATEVALUE(vLS_1[[#This Row],[Date Terminated]])-DATEVALUE(vLS_1[[#This Row],[Transplant Date]])), "")</f>
        <v/>
      </c>
      <c r="I14" t="str">
        <f ca="1">IFERROR(ROUND(vLS_1[[#This Row],[Final Root Length (mm)]]/vLS_1[[#This Row],[Days Between]], 2), "")</f>
        <v/>
      </c>
      <c r="J14">
        <f ca="1">IF(AND(ISNUMBER(vLS_1[[#This Row],[Final Root Length (mm)]]),ISNUMBER(vLS_1[[#This Row],[Days Between]]),vLS_1[[#This Row],[Days Between]]&gt;0,ISNUMBER(vLS_1[[#This Row],[Fertilizer Added (g)]])), 1, 0)</f>
        <v>0</v>
      </c>
      <c r="N14" t="str" cm="1">
        <f t="array" aca="1" ref="N14" ca="1">_xlfn.LET(_xlpm.value, OFFSET(INDIRECT(ADDRESS(ROW(),COLUMN())),0,-2), IF(_xlpm.value="","",_xlpm.value))</f>
        <v/>
      </c>
      <c r="O14" s="17" t="str" cm="1">
        <f t="array" aca="1" ref="O14" ca="1">_xlfn.LET(_xlpm.value, OFFSET(INDIRECT(ADDRESS(ROW(),COLUMN())),0,-2), IF(_xlpm.value="","",_xlpm.value))</f>
        <v/>
      </c>
      <c r="P14" s="17" t="str">
        <f ca="1">IFERROR(ROUND(AVERAGEIFS(vLS_1[Root Length per Day (mm/day)],vLS_1[Seed],vLS_2[[#This Row],[Seed]], vLS_1[Fertilizer Added (g)], vLS_2[[#This Row],[Fertilizer Added (g)]]), 2), "")</f>
        <v/>
      </c>
    </row>
    <row r="15" spans="1:17">
      <c r="A15" t="str" cm="1">
        <f t="array" aca="1" ref="A15" ca="1">_xlfn.LET(
    _xlpm.value, INDEX(Growing[Seeding Jar], ROW()-ROW(Growing[#Headers])),
    IF(_xlpm.value="", "", _xlpm.value)
)</f>
        <v>5</v>
      </c>
      <c r="B15">
        <f ca="1">IF(vLS_1[[#This Row],[Seeding Jar]]="", "", VALUE(_xlfn.XLOOKUP(SUBSTITUTE(vLS_1[[#This Row],[Seeding Jar]], "*", ""), Jars[Jar], Jars[Fertilizer Added (g)])))</f>
        <v>1.39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Row],[Date Terminated]]="", "", TEXT(Growing[[#This Row],[Date Terminated]], "YYYY-MM-dd"))</f>
        <v>2026-07-12</v>
      </c>
      <c r="G15" t="str">
        <f ca="1">IF(Growing[[#This Row],[Final Root Length (mm)]]="", "", IFERROR(VALUE(Growing[[#This Row],[Final Root Length (mm)]]), ""))</f>
        <v/>
      </c>
      <c r="H15" t="str">
        <f ca="1">IFERROR(VALUE(DATEVALUE(vLS_1[[#This Row],[Date Terminated]])-DATEVALUE(vLS_1[[#This Row],[Transplant Date]])), "")</f>
        <v/>
      </c>
      <c r="I15" t="str">
        <f ca="1">IFERROR(ROUND(vLS_1[[#This Row],[Final Root Length (mm)]]/vLS_1[[#This Row],[Days Between]], 2), "")</f>
        <v/>
      </c>
      <c r="J15">
        <f ca="1">IF(AND(ISNUMBER(vLS_1[[#This Row],[Final Root Length (mm)]]),ISNUMBER(vLS_1[[#This Row],[Days Between]]),vLS_1[[#This Row],[Days Between]]&gt;0,ISNUMBER(vLS_1[[#This Row],[Fertilizer Added (g)]])), 1, 0)</f>
        <v>0</v>
      </c>
      <c r="N15" t="str" cm="1">
        <f t="array" aca="1" ref="N15" ca="1">_xlfn.LET(_xlpm.value, OFFSET(INDIRECT(ADDRESS(ROW(),COLUMN())),0,-2), IF(_xlpm.value="","",_xlpm.value))</f>
        <v/>
      </c>
      <c r="O15" s="17" t="str" cm="1">
        <f t="array" aca="1" ref="O15" ca="1">_xlfn.LET(_xlpm.value, OFFSET(INDIRECT(ADDRESS(ROW(),COLUMN())),0,-2), IF(_xlpm.value="","",_xlpm.value))</f>
        <v/>
      </c>
      <c r="P15" s="17" t="str">
        <f ca="1">IFERROR(ROUND(AVERAGEIFS(vLS_1[Root Length per Day (mm/day)],vLS_1[Seed],vLS_2[[#This Row],[Seed]], vLS_1[Fertilizer Added (g)], vLS_2[[#This Row],[Fertilizer Added (g)]]), 2), "")</f>
        <v/>
      </c>
    </row>
    <row r="16" spans="1:17">
      <c r="A16" t="str" cm="1">
        <f t="array" aca="1" ref="A16" ca="1">_xlfn.LET(
    _xlpm.value, INDEX(Growing[Seeding Jar], ROW()-ROW(Growing[#Headers])),
    IF(_xlpm.value="", "", _xlpm.value)
)</f>
        <v>6</v>
      </c>
      <c r="B16">
        <f ca="1">IF(vLS_1[[#This Row],[Seeding Jar]]="", "", VALUE(_xlfn.XLOOKUP(SUBSTITUTE(vLS_1[[#This Row],[Seeding Jar]], "*", ""), Jars[Jar], Jars[Fertilizer Added (g)])))</f>
        <v>1.4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Row],[Date Terminated]]="", "", TEXT(Growing[[#This Row],[Date Terminated]], "YYYY-MM-dd"))</f>
        <v>2026-08-09</v>
      </c>
      <c r="G16" t="str">
        <f ca="1">IF(Growing[[#This Row],[Final Root Length (mm)]]="", "", IFERROR(VALUE(Growing[[#This Row],[Final Root Length (mm)]]), ""))</f>
        <v/>
      </c>
      <c r="H16" t="str">
        <f ca="1">IFERROR(VALUE(DATEVALUE(vLS_1[[#This Row],[Date Terminated]])-DATEVALUE(vLS_1[[#This Row],[Transplant Date]])), "")</f>
        <v/>
      </c>
      <c r="I16" t="str">
        <f ca="1">IFERROR(ROUND(vLS_1[[#This Row],[Final Root Length (mm)]]/vLS_1[[#This Row],[Days Between]], 2), "")</f>
        <v/>
      </c>
      <c r="J16">
        <f ca="1">IF(AND(ISNUMBER(vLS_1[[#This Row],[Final Root Length (mm)]]),ISNUMBER(vLS_1[[#This Row],[Days Between]]),vLS_1[[#This Row],[Days Between]]&gt;0,ISNUMBER(vLS_1[[#This Row],[Fertilizer Added (g)]])), 1, 0)</f>
        <v>0</v>
      </c>
      <c r="N16" s="17" t="str" cm="1">
        <f t="array" aca="1" ref="N16" ca="1">_xlfn.LET(_xlpm.value, OFFSET(INDIRECT(ADDRESS(ROW(),COLUMN())),0,-2), IF(_xlpm.value="","",_xlpm.value))</f>
        <v/>
      </c>
      <c r="O16" s="17" t="str" cm="1">
        <f t="array" aca="1" ref="O16" ca="1">_xlfn.LET(_xlpm.value, OFFSET(INDIRECT(ADDRESS(ROW(),COLUMN())),0,-2), IF(_xlpm.value="","",_xlpm.value))</f>
        <v/>
      </c>
      <c r="P16" s="17" t="str">
        <f ca="1">IFERROR(ROUND(AVERAGEIFS(vLS_1[Root Length per Day (mm/day)],vLS_1[Seed],vLS_2[[#This Row],[Seed]], vLS_1[Fertilizer Added (g)], vLS_2[[#This Row],[Fertilizer Added (g)]]), 2), "")</f>
        <v/>
      </c>
    </row>
    <row r="17" spans="1:16">
      <c r="A17" t="str" cm="1">
        <f t="array" aca="1" ref="A17" ca="1">_xlfn.LET(
    _xlpm.value, INDEX(Growing[Seeding Jar], ROW()-ROW(Growing[#Headers])),
    IF(_xlpm.value="", "", _xlpm.value)
)</f>
        <v>7</v>
      </c>
      <c r="B17">
        <f ca="1">IF(vLS_1[[#This Row],[Seeding Jar]]="", "", VALUE(_xlfn.XLOOKUP(SUBSTITUTE(vLS_1[[#This Row],[Seeding Jar]], "*", ""), Jars[Jar], Jars[Fertilizer Added (g)])))</f>
        <v>1.43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Row],[Date Terminated]]="", "", TEXT(Growing[[#This Row],[Date Terminated]], "YYYY-MM-dd"))</f>
        <v>2026-08-09</v>
      </c>
      <c r="G17" t="str">
        <f ca="1">IF(Growing[[#This Row],[Final Root Length (mm)]]="", "", IFERROR(VALUE(Growing[[#This Row],[Final Root Length (mm)]]), ""))</f>
        <v/>
      </c>
      <c r="H17" t="str">
        <f ca="1">IFERROR(VALUE(DATEVALUE(vLS_1[[#This Row],[Date Terminated]])-DATEVALUE(vLS_1[[#This Row],[Transplant Date]])), "")</f>
        <v/>
      </c>
      <c r="I17" t="str">
        <f ca="1">IFERROR(ROUND(vLS_1[[#This Row],[Final Root Length (mm)]]/vLS_1[[#This Row],[Days Between]], 2), "")</f>
        <v/>
      </c>
      <c r="J17">
        <f ca="1">IF(AND(ISNUMBER(vLS_1[[#This Row],[Final Root Length (mm)]]),ISNUMBER(vLS_1[[#This Row],[Days Between]]),vLS_1[[#This Row],[Days Between]]&gt;0,ISNUMBER(vLS_1[[#This Row],[Fertilizer Added (g)]])), 1, 0)</f>
        <v>0</v>
      </c>
      <c r="N17" s="17" t="str" cm="1">
        <f t="array" aca="1" ref="N17" ca="1">_xlfn.LET(_xlpm.value, OFFSET(INDIRECT(ADDRESS(ROW(),COLUMN())),0,-2), IF(_xlpm.value="","",_xlpm.value))</f>
        <v/>
      </c>
      <c r="O17" s="17" t="str" cm="1">
        <f t="array" aca="1" ref="O17" ca="1">_xlfn.LET(_xlpm.value, OFFSET(INDIRECT(ADDRESS(ROW(),COLUMN())),0,-2), IF(_xlpm.value="","",_xlpm.value))</f>
        <v/>
      </c>
      <c r="P17" s="17" t="str">
        <f ca="1">IFERROR(ROUND(AVERAGEIFS(vLS_1[Root Length per Day (mm/day)],vLS_1[Seed],vLS_2[[#This Row],[Seed]], vLS_1[Fertilizer Added (g)], vLS_2[[#This Row],[Fertilizer Added (g)]]), 2), "")</f>
        <v/>
      </c>
    </row>
    <row r="18" spans="1:16">
      <c r="A18" t="str" cm="1">
        <f t="array" aca="1" ref="A18" ca="1">_xlfn.LET(
    _xlpm.value, INDEX(Growing[Seeding Jar], ROW()-ROW(Growing[#Headers])),
    IF(_xlpm.value="", "", _xlpm.value)
)</f>
        <v>8</v>
      </c>
      <c r="B18">
        <f ca="1">IF(vLS_1[[#This Row],[Seeding Jar]]="", "", VALUE(_xlfn.XLOOKUP(SUBSTITUTE(vLS_1[[#This Row],[Seeding Jar]], "*", ""), Jars[Jar], Jars[Fertilizer Added (g)])))</f>
        <v>1.37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Row],[Date Terminated]]="", "", TEXT(Growing[[#This Row],[Date Terminated]], "YYYY-MM-dd"))</f>
        <v>2026-08-16</v>
      </c>
      <c r="G18" t="str">
        <f ca="1">IF(Growing[[#This Row],[Final Root Length (mm)]]="", "", IFERROR(VALUE(Growing[[#This Row],[Final Root Length (mm)]]), ""))</f>
        <v/>
      </c>
      <c r="H18" t="str">
        <f ca="1">IFERROR(VALUE(DATEVALUE(vLS_1[[#This Row],[Date Terminated]])-DATEVALUE(vLS_1[[#This Row],[Transplant Date]])), "")</f>
        <v/>
      </c>
      <c r="I18" t="str">
        <f ca="1">IFERROR(ROUND(vLS_1[[#This Row],[Final Root Length (mm)]]/vLS_1[[#This Row],[Days Between]], 2), "")</f>
        <v/>
      </c>
      <c r="J18">
        <f ca="1">IF(AND(ISNUMBER(vLS_1[[#This Row],[Final Root Length (mm)]]),ISNUMBER(vLS_1[[#This Row],[Days Between]]),vLS_1[[#This Row],[Days Between]]&gt;0,ISNUMBER(vLS_1[[#This Row],[Fertilizer Added (g)]])), 1, 0)</f>
        <v>0</v>
      </c>
      <c r="N18" s="17" t="str" cm="1">
        <f t="array" aca="1" ref="N18" ca="1">_xlfn.LET(_xlpm.value, OFFSET(INDIRECT(ADDRESS(ROW(),COLUMN())),0,-2), IF(_xlpm.value="","",_xlpm.value))</f>
        <v/>
      </c>
      <c r="O18" s="17" t="str" cm="1">
        <f t="array" aca="1" ref="O18" ca="1">_xlfn.LET(_xlpm.value, OFFSET(INDIRECT(ADDRESS(ROW(),COLUMN())),0,-2), IF(_xlpm.value="","",_xlpm.value))</f>
        <v/>
      </c>
      <c r="P18" s="17" t="str">
        <f ca="1">IFERROR(ROUND(AVERAGEIFS(vLS_1[Root Length per Day (mm/day)],vLS_1[Seed],vLS_2[[#This Row],[Seed]], vLS_1[Fertilizer Added (g)], vLS_2[[#This Row],[Fertilizer Added (g)]]), 2), "")</f>
        <v/>
      </c>
    </row>
    <row r="19" spans="1:16">
      <c r="A19" t="str" cm="1">
        <f t="array" aca="1" ref="A19" ca="1">_xlfn.LET(
    _xlpm.value, INDEX(Growing[Seeding Jar], ROW()-ROW(Growing[#Headers])),
    IF(_xlpm.value="", "", _xlpm.value)
)</f>
        <v>9</v>
      </c>
      <c r="B19">
        <f ca="1">IF(vLS_1[[#This Row],[Seeding Jar]]="", "", VALUE(_xlfn.XLOOKUP(SUBSTITUTE(vLS_1[[#This Row],[Seeding Jar]], "*", ""), Jars[Jar], Jars[Fertilizer Added (g)])))</f>
        <v>1.49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Row],[Date Terminated]]="", "", TEXT(Growing[[#This Row],[Date Terminated]], "YYYY-MM-dd"))</f>
        <v>2026-08-09</v>
      </c>
      <c r="G19" t="str">
        <f ca="1">IF(Growing[[#This Row],[Final Root Length (mm)]]="", "", IFERROR(VALUE(Growing[[#This Row],[Final Root Length (mm)]]), ""))</f>
        <v/>
      </c>
      <c r="H19" t="str">
        <f ca="1">IFERROR(VALUE(DATEVALUE(vLS_1[[#This Row],[Date Terminated]])-DATEVALUE(vLS_1[[#This Row],[Transplant Date]])), "")</f>
        <v/>
      </c>
      <c r="I19" t="str">
        <f ca="1">IFERROR(ROUND(vLS_1[[#This Row],[Final Root Length (mm)]]/vLS_1[[#This Row],[Days Between]], 2), "")</f>
        <v/>
      </c>
      <c r="J19">
        <f ca="1">IF(AND(ISNUMBER(vLS_1[[#This Row],[Final Root Length (mm)]]),ISNUMBER(vLS_1[[#This Row],[Days Between]]),vLS_1[[#This Row],[Days Between]]&gt;0,ISNUMBER(vLS_1[[#This Row],[Fertilizer Added (g)]])), 1, 0)</f>
        <v>0</v>
      </c>
      <c r="N19" s="17" t="str" cm="1">
        <f t="array" aca="1" ref="N19" ca="1">_xlfn.LET(_xlpm.value, OFFSET(INDIRECT(ADDRESS(ROW(),COLUMN())),0,-2), IF(_xlpm.value="","",_xlpm.value))</f>
        <v/>
      </c>
      <c r="O19" s="17" t="str" cm="1">
        <f t="array" aca="1" ref="O19" ca="1">_xlfn.LET(_xlpm.value, OFFSET(INDIRECT(ADDRESS(ROW(),COLUMN())),0,-2), IF(_xlpm.value="","",_xlpm.value))</f>
        <v/>
      </c>
      <c r="P19" s="17" t="str">
        <f ca="1">IFERROR(ROUND(AVERAGEIFS(vLS_1[Root Length per Day (mm/day)],vLS_1[Seed],vLS_2[[#This Row],[Seed]], vLS_1[Fertilizer Added (g)], vLS_2[[#This Row],[Fertilizer Added (g)]]), 2), "")</f>
        <v/>
      </c>
    </row>
    <row r="20" spans="1:16">
      <c r="A20" t="str" cm="1">
        <f t="array" aca="1" ref="A20" ca="1">_xlfn.LET(
    _xlpm.value, INDEX(Growing[Seeding Jar], ROW()-ROW(Growing[#Headers])),
    IF(_xlpm.value="", "", _xlpm.value)
)</f>
        <v>10</v>
      </c>
      <c r="B20">
        <f ca="1">IF(vLS_1[[#This Row],[Seeding Jar]]="", "", VALUE(_xlfn.XLOOKUP(SUBSTITUTE(vLS_1[[#This Row],[Seeding Jar]], "*", ""), Jars[Jar], Jars[Fertilizer Added (g)])))</f>
        <v>1.39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Row],[Date Terminated]]="", "", TEXT(Growing[[#This Row],[Date Terminated]], "YYYY-MM-dd"))</f>
        <v>2026-08-23</v>
      </c>
      <c r="G20" t="str">
        <f ca="1">IF(Growing[[#This Row],[Final Root Length (mm)]]="", "", IFERROR(VALUE(Growing[[#This Row],[Final Root Length (mm)]]), ""))</f>
        <v/>
      </c>
      <c r="H20" t="str">
        <f ca="1">IFERROR(VALUE(DATEVALUE(vLS_1[[#This Row],[Date Terminated]])-DATEVALUE(vLS_1[[#This Row],[Transplant Date]])), "")</f>
        <v/>
      </c>
      <c r="I20" t="str">
        <f ca="1">IFERROR(ROUND(vLS_1[[#This Row],[Final Root Length (mm)]]/vLS_1[[#This Row],[Days Between]], 2), "")</f>
        <v/>
      </c>
      <c r="J20">
        <f ca="1">IF(AND(ISNUMBER(vLS_1[[#This Row],[Final Root Length (mm)]]),ISNUMBER(vLS_1[[#This Row],[Days Between]]),vLS_1[[#This Row],[Days Between]]&gt;0,ISNUMBER(vLS_1[[#This Row],[Fertilizer Added (g)]])), 1, 0)</f>
        <v>0</v>
      </c>
      <c r="N20" s="17" t="str" cm="1">
        <f t="array" aca="1" ref="N20" ca="1">_xlfn.LET(_xlpm.value, OFFSET(INDIRECT(ADDRESS(ROW(),COLUMN())),0,-2), IF(_xlpm.value="","",_xlpm.value))</f>
        <v/>
      </c>
      <c r="O20" s="17" t="str" cm="1">
        <f t="array" aca="1" ref="O20" ca="1">_xlfn.LET(_xlpm.value, OFFSET(INDIRECT(ADDRESS(ROW(),COLUMN())),0,-2), IF(_xlpm.value="","",_xlpm.value))</f>
        <v/>
      </c>
      <c r="P20" s="17" t="str">
        <f ca="1">IFERROR(ROUND(AVERAGEIFS(vLS_1[Root Length per Day (mm/day)],vLS_1[Seed],vLS_2[[#This Row],[Seed]], vLS_1[Fertilizer Added (g)], vLS_2[[#This Row],[Fertilizer Added (g)]]), 2), "")</f>
        <v/>
      </c>
    </row>
    <row r="21" spans="1:16">
      <c r="A21" t="str" cm="1">
        <f t="array" aca="1" ref="A21" ca="1">_xlfn.LET(
    _xlpm.value, INDEX(Growing[Seeding Jar], ROW()-ROW(Growing[#Headers])),
    IF(_xlpm.value="", "", _xlpm.value)
)</f>
        <v>11</v>
      </c>
      <c r="B21">
        <f ca="1">IF(vLS_1[[#This Row],[Seeding Jar]]="", "", VALUE(_xlfn.XLOOKUP(SUBSTITUTE(vLS_1[[#This Row],[Seeding Jar]], "*", ""), Jars[Jar], Jars[Fertilizer Added (g)])))</f>
        <v>1.39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Row],[Date Terminated]]="", "", TEXT(Growing[[#This Row],[Date Terminated]], "YYYY-MM-dd"))</f>
        <v>2026-08-16</v>
      </c>
      <c r="G21" t="str">
        <f ca="1">IF(Growing[[#This Row],[Final Root Length (mm)]]="", "", IFERROR(VALUE(Growing[[#This Row],[Final Root Length (mm)]]), ""))</f>
        <v/>
      </c>
      <c r="H21" t="str">
        <f ca="1">IFERROR(VALUE(DATEVALUE(vLS_1[[#This Row],[Date Terminated]])-DATEVALUE(vLS_1[[#This Row],[Transplant Date]])), "")</f>
        <v/>
      </c>
      <c r="I21" t="str">
        <f ca="1">IFERROR(ROUND(vLS_1[[#This Row],[Final Root Length (mm)]]/vLS_1[[#This Row],[Days Between]], 2), "")</f>
        <v/>
      </c>
      <c r="J21">
        <f ca="1">IF(AND(ISNUMBER(vLS_1[[#This Row],[Final Root Length (mm)]]),ISNUMBER(vLS_1[[#This Row],[Days Between]]),vLS_1[[#This Row],[Days Between]]&gt;0,ISNUMBER(vLS_1[[#This Row],[Fertilizer Added (g)]])), 1, 0)</f>
        <v>0</v>
      </c>
      <c r="N21" s="17" t="str" cm="1">
        <f t="array" aca="1" ref="N21" ca="1">_xlfn.LET(_xlpm.value, OFFSET(INDIRECT(ADDRESS(ROW(),COLUMN())),0,-2), IF(_xlpm.value="","",_xlpm.value))</f>
        <v/>
      </c>
      <c r="O21" s="17" t="str" cm="1">
        <f t="array" aca="1" ref="O21" ca="1">_xlfn.LET(_xlpm.value, OFFSET(INDIRECT(ADDRESS(ROW(),COLUMN())),0,-2), IF(_xlpm.value="","",_xlpm.value))</f>
        <v/>
      </c>
      <c r="P21" s="17" t="str">
        <f ca="1">IFERROR(ROUND(AVERAGEIFS(vLS_1[Root Length per Day (mm/day)],vLS_1[Seed],vLS_2[[#This Row],[Seed]], vLS_1[Fertilizer Added (g)], vLS_2[[#This Row],[Fertilizer Added (g)]]), 2), "")</f>
        <v/>
      </c>
    </row>
    <row r="22" spans="1:16">
      <c r="A22" t="str" cm="1">
        <f t="array" aca="1" ref="A22" ca="1">_xlfn.LET(
    _xlpm.value, INDEX(Growing[Seeding Jar], ROW()-ROW(Growing[#Headers])),
    IF(_xlpm.value="", "", _xlpm.value)
)</f>
        <v>12</v>
      </c>
      <c r="B22">
        <f ca="1">IF(vLS_1[[#This Row],[Seeding Jar]]="", "", VALUE(_xlfn.XLOOKUP(SUBSTITUTE(vLS_1[[#This Row],[Seeding Jar]], "*", ""), Jars[Jar], Jars[Fertilizer Added (g)])))</f>
        <v>1.41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Row],[Date Terminated]]="", "", TEXT(Growing[[#This Row],[Date Terminated]], "YYYY-MM-dd"))</f>
        <v>2026-08-23</v>
      </c>
      <c r="G22" t="str">
        <f ca="1">IF(Growing[[#This Row],[Final Root Length (mm)]]="", "", IFERROR(VALUE(Growing[[#This Row],[Final Root Length (mm)]]), ""))</f>
        <v/>
      </c>
      <c r="H22" t="str">
        <f ca="1">IFERROR(VALUE(DATEVALUE(vLS_1[[#This Row],[Date Terminated]])-DATEVALUE(vLS_1[[#This Row],[Transplant Date]])), "")</f>
        <v/>
      </c>
      <c r="I22" t="str">
        <f ca="1">IFERROR(ROUND(vLS_1[[#This Row],[Final Root Length (mm)]]/vLS_1[[#This Row],[Days Between]], 2), "")</f>
        <v/>
      </c>
      <c r="J22">
        <f ca="1">IF(AND(ISNUMBER(vLS_1[[#This Row],[Final Root Length (mm)]]),ISNUMBER(vLS_1[[#This Row],[Days Between]]),vLS_1[[#This Row],[Days Between]]&gt;0,ISNUMBER(vLS_1[[#This Row],[Fertilizer Added (g)]])), 1, 0)</f>
        <v>0</v>
      </c>
      <c r="N22" s="17" t="str" cm="1">
        <f t="array" aca="1" ref="N22" ca="1">_xlfn.LET(_xlpm.value, OFFSET(INDIRECT(ADDRESS(ROW(),COLUMN())),0,-2), IF(_xlpm.value="","",_xlpm.value))</f>
        <v/>
      </c>
      <c r="O22" s="17" t="str" cm="1">
        <f t="array" aca="1" ref="O22" ca="1">_xlfn.LET(_xlpm.value, OFFSET(INDIRECT(ADDRESS(ROW(),COLUMN())),0,-2), IF(_xlpm.value="","",_xlpm.value))</f>
        <v/>
      </c>
      <c r="P22" s="17" t="str">
        <f ca="1">IFERROR(ROUND(AVERAGEIFS(vLS_1[Root Length per Day (mm/day)],vLS_1[Seed],vLS_2[[#This Row],[Seed]], vLS_1[Fertilizer Added (g)], vLS_2[[#This Row],[Fertilizer Added (g)]]), 2), "")</f>
        <v/>
      </c>
    </row>
    <row r="23" spans="1:16">
      <c r="A23" t="str" cm="1">
        <f t="array" aca="1" ref="A23" ca="1">_xlfn.LET(
    _xlpm.value, INDEX(Growing[Seeding Jar], ROW()-ROW(Growing[#Headers])),
    IF(_xlpm.value="", "", _xlpm.value)
)</f>
        <v>13</v>
      </c>
      <c r="B23">
        <f ca="1">IF(vLS_1[[#This Row],[Seeding Jar]]="", "", VALUE(_xlfn.XLOOKUP(SUBSTITUTE(vLS_1[[#This Row],[Seeding Jar]], "*", ""), Jars[Jar], Jars[Fertilizer Added (g)])))</f>
        <v>1.8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Row],[Date Terminated]]="", "", TEXT(Growing[[#This Row],[Date Terminated]], "YYYY-MM-dd"))</f>
        <v>2026-08-16</v>
      </c>
      <c r="G23" t="str">
        <f ca="1">IF(Growing[[#This Row],[Final Root Length (mm)]]="", "", IFERROR(VALUE(Growing[[#This Row],[Final Root Length (mm)]]), ""))</f>
        <v/>
      </c>
      <c r="H23" t="str">
        <f ca="1">IFERROR(VALUE(DATEVALUE(vLS_1[[#This Row],[Date Terminated]])-DATEVALUE(vLS_1[[#This Row],[Transplant Date]])), "")</f>
        <v/>
      </c>
      <c r="I23" t="str">
        <f ca="1">IFERROR(ROUND(vLS_1[[#This Row],[Final Root Length (mm)]]/vLS_1[[#This Row],[Days Between]], 2), "")</f>
        <v/>
      </c>
      <c r="J23">
        <f ca="1">IF(AND(ISNUMBER(vLS_1[[#This Row],[Final Root Length (mm)]]),ISNUMBER(vLS_1[[#This Row],[Days Between]]),vLS_1[[#This Row],[Days Between]]&gt;0,ISNUMBER(vLS_1[[#This Row],[Fertilizer Added (g)]])), 1, 0)</f>
        <v>0</v>
      </c>
      <c r="N23" s="17" t="str" cm="1">
        <f t="array" aca="1" ref="N23" ca="1">_xlfn.LET(_xlpm.value, OFFSET(INDIRECT(ADDRESS(ROW(),COLUMN())),0,-2), IF(_xlpm.value="","",_xlpm.value))</f>
        <v/>
      </c>
      <c r="O23" s="17" t="str" cm="1">
        <f t="array" aca="1" ref="O23" ca="1">_xlfn.LET(_xlpm.value, OFFSET(INDIRECT(ADDRESS(ROW(),COLUMN())),0,-2), IF(_xlpm.value="","",_xlpm.value))</f>
        <v/>
      </c>
      <c r="P23" s="17" t="str">
        <f ca="1">IFERROR(ROUND(AVERAGEIFS(vLS_1[Root Length per Day (mm/day)],vLS_1[Seed],vLS_2[[#This Row],[Seed]], vLS_1[Fertilizer Added (g)], vLS_2[[#This Row],[Fertilizer Added (g)]]), 2), "")</f>
        <v/>
      </c>
    </row>
    <row r="24" spans="1:16">
      <c r="A24" t="str" cm="1">
        <f t="array" aca="1" ref="A24" ca="1">_xlfn.LET(
    _xlpm.value, INDEX(Growing[Seeding Jar], ROW()-ROW(Growing[#Headers])),
    IF(_xlpm.value="", "", _xlpm.value)
)</f>
        <v>14</v>
      </c>
      <c r="B24">
        <f ca="1">IF(vLS_1[[#This Row],[Seeding Jar]]="", "", VALUE(_xlfn.XLOOKUP(SUBSTITUTE(vLS_1[[#This Row],[Seeding Jar]], "*", ""), Jars[Jar], Jars[Fertilizer Added (g)])))</f>
        <v>1.4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Row],[Date Terminated]]="", "", TEXT(Growing[[#This Row],[Date Terminated]], "YYYY-MM-dd"))</f>
        <v>2026-08-16</v>
      </c>
      <c r="G24" t="str">
        <f ca="1">IF(Growing[[#This Row],[Final Root Length (mm)]]="", "", IFERROR(VALUE(Growing[[#This Row],[Final Root Length (mm)]]), ""))</f>
        <v/>
      </c>
      <c r="H24" t="str">
        <f ca="1">IFERROR(VALUE(DATEVALUE(vLS_1[[#This Row],[Date Terminated]])-DATEVALUE(vLS_1[[#This Row],[Transplant Date]])), "")</f>
        <v/>
      </c>
      <c r="I24" t="str">
        <f ca="1">IFERROR(ROUND(vLS_1[[#This Row],[Final Root Length (mm)]]/vLS_1[[#This Row],[Days Between]], 2), "")</f>
        <v/>
      </c>
      <c r="J24">
        <f ca="1">IF(AND(ISNUMBER(vLS_1[[#This Row],[Final Root Length (mm)]]),ISNUMBER(vLS_1[[#This Row],[Days Between]]),vLS_1[[#This Row],[Days Between]]&gt;0,ISNUMBER(vLS_1[[#This Row],[Fertilizer Added (g)]])), 1, 0)</f>
        <v>0</v>
      </c>
      <c r="N24" s="17" t="str" cm="1">
        <f t="array" aca="1" ref="N24" ca="1">_xlfn.LET(_xlpm.value, OFFSET(INDIRECT(ADDRESS(ROW(),COLUMN())),0,-2), IF(_xlpm.value="","",_xlpm.value))</f>
        <v/>
      </c>
      <c r="O24" s="17" t="str" cm="1">
        <f t="array" aca="1" ref="O24" ca="1">_xlfn.LET(_xlpm.value, OFFSET(INDIRECT(ADDRESS(ROW(),COLUMN())),0,-2), IF(_xlpm.value="","",_xlpm.value))</f>
        <v/>
      </c>
      <c r="P24" s="17" t="str">
        <f ca="1">IFERROR(ROUND(AVERAGEIFS(vLS_1[Root Length per Day (mm/day)],vLS_1[Seed],vLS_2[[#This Row],[Seed]], vLS_1[Fertilizer Added (g)], vLS_2[[#This Row],[Fertilizer Added (g)]]), 2), "")</f>
        <v/>
      </c>
    </row>
    <row r="25" spans="1:16">
      <c r="A25" t="str" cm="1">
        <f t="array" aca="1" ref="A25" ca="1">_xlfn.LET(
    _xlpm.value, INDEX(Growing[Seeding Jar], ROW()-ROW(Growing[#Headers])),
    IF(_xlpm.value="", "", _xlpm.value)
)</f>
        <v>15</v>
      </c>
      <c r="B25">
        <f ca="1">IF(vLS_1[[#This Row],[Seeding Jar]]="", "", VALUE(_xlfn.XLOOKUP(SUBSTITUTE(vLS_1[[#This Row],[Seeding Jar]], "*", ""), Jars[Jar], Jars[Fertilizer Added (g)])))</f>
        <v>1.44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Row],[Date Terminated]]="", "", TEXT(Growing[[#This Row],[Date Terminated]], "YYYY-MM-dd"))</f>
        <v>2026-07-14</v>
      </c>
      <c r="G25" t="str">
        <f ca="1">IF(Growing[[#This Row],[Final Root Length (mm)]]="", "", IFERROR(VALUE(Growing[[#This Row],[Final Root Length (mm)]]), ""))</f>
        <v/>
      </c>
      <c r="H25" t="str">
        <f ca="1">IFERROR(VALUE(DATEVALUE(vLS_1[[#This Row],[Date Terminated]])-DATEVALUE(vLS_1[[#This Row],[Transplant Date]])), "")</f>
        <v/>
      </c>
      <c r="I25" t="str">
        <f ca="1">IFERROR(ROUND(vLS_1[[#This Row],[Final Root Length (mm)]]/vLS_1[[#This Row],[Days Between]], 2), "")</f>
        <v/>
      </c>
      <c r="J25">
        <f ca="1">IF(AND(ISNUMBER(vLS_1[[#This Row],[Final Root Length (mm)]]),ISNUMBER(vLS_1[[#This Row],[Days Between]]),vLS_1[[#This Row],[Days Between]]&gt;0,ISNUMBER(vLS_1[[#This Row],[Fertilizer Added (g)]])), 1, 0)</f>
        <v>0</v>
      </c>
      <c r="N25" s="17" t="str" cm="1">
        <f t="array" aca="1" ref="N25" ca="1">_xlfn.LET(_xlpm.value, OFFSET(INDIRECT(ADDRESS(ROW(),COLUMN())),0,-2), IF(_xlpm.value="","",_xlpm.value))</f>
        <v/>
      </c>
      <c r="O25" s="17" t="str" cm="1">
        <f t="array" aca="1" ref="O25" ca="1">_xlfn.LET(_xlpm.value, OFFSET(INDIRECT(ADDRESS(ROW(),COLUMN())),0,-2), IF(_xlpm.value="","",_xlpm.value))</f>
        <v/>
      </c>
      <c r="P25" s="17" t="str">
        <f ca="1">IFERROR(ROUND(AVERAGEIFS(vLS_1[Root Length per Day (mm/day)],vLS_1[Seed],vLS_2[[#This Row],[Seed]], vLS_1[Fertilizer Added (g)], vLS_2[[#This Row],[Fertilizer Added (g)]]), 2), "")</f>
        <v/>
      </c>
    </row>
    <row r="26" spans="1:16">
      <c r="A26" t="str" cm="1">
        <f t="array" aca="1" ref="A26" ca="1">_xlfn.LET(
    _xlpm.value, INDEX(Growing[Seeding Jar], ROW()-ROW(Growing[#Headers])),
    IF(_xlpm.value="", "", _xlpm.value)
)</f>
        <v>16</v>
      </c>
      <c r="B26">
        <f ca="1">IF(vLS_1[[#This Row],[Seeding Jar]]="", "", VALUE(_xlfn.XLOOKUP(SUBSTITUTE(vLS_1[[#This Row],[Seeding Jar]], "*", ""), Jars[Jar], Jars[Fertilizer Added (g)])))</f>
        <v>1.55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Row],[Date Terminated]]="", "", TEXT(Growing[[#This Row],[Date Terminated]], "YYYY-MM-dd"))</f>
        <v>2026-08-16</v>
      </c>
      <c r="G26" t="str">
        <f ca="1">IF(Growing[[#This Row],[Final Root Length (mm)]]="", "", IFERROR(VALUE(Growing[[#This Row],[Final Root Length (mm)]]), ""))</f>
        <v/>
      </c>
      <c r="H26" t="str">
        <f ca="1">IFERROR(VALUE(DATEVALUE(vLS_1[[#This Row],[Date Terminated]])-DATEVALUE(vLS_1[[#This Row],[Transplant Date]])), "")</f>
        <v/>
      </c>
      <c r="I26" t="str">
        <f ca="1">IFERROR(ROUND(vLS_1[[#This Row],[Final Root Length (mm)]]/vLS_1[[#This Row],[Days Between]], 2), "")</f>
        <v/>
      </c>
      <c r="J26">
        <f ca="1">IF(AND(ISNUMBER(vLS_1[[#This Row],[Final Root Length (mm)]]),ISNUMBER(vLS_1[[#This Row],[Days Between]]),vLS_1[[#This Row],[Days Between]]&gt;0,ISNUMBER(vLS_1[[#This Row],[Fertilizer Added (g)]])), 1, 0)</f>
        <v>0</v>
      </c>
      <c r="N26" s="17" t="str" cm="1">
        <f t="array" aca="1" ref="N26" ca="1">_xlfn.LET(_xlpm.value, OFFSET(INDIRECT(ADDRESS(ROW(),COLUMN())),0,-2), IF(_xlpm.value="","",_xlpm.value))</f>
        <v/>
      </c>
      <c r="O26" s="17" t="str" cm="1">
        <f t="array" aca="1" ref="O26" ca="1">_xlfn.LET(_xlpm.value, OFFSET(INDIRECT(ADDRESS(ROW(),COLUMN())),0,-2), IF(_xlpm.value="","",_xlpm.value))</f>
        <v/>
      </c>
      <c r="P26" s="17" t="str">
        <f ca="1">IFERROR(ROUND(AVERAGEIFS(vLS_1[Root Length per Day (mm/day)],vLS_1[Seed],vLS_2[[#This Row],[Seed]], vLS_1[Fertilizer Added (g)], vLS_2[[#This Row],[Fertilizer Added (g)]]), 2), "")</f>
        <v/>
      </c>
    </row>
    <row r="27" spans="1:16">
      <c r="A27" t="str" cm="1">
        <f t="array" aca="1" ref="A27" ca="1">_xlfn.LET(
    _xlpm.value, INDEX(Growing[Seeding Jar], ROW()-ROW(Growing[#Headers])),
    IF(_xlpm.value="", "", _xlpm.value)
)</f>
        <v>17</v>
      </c>
      <c r="B27">
        <f ca="1">IF(vLS_1[[#This Row],[Seeding Jar]]="", "", VALUE(_xlfn.XLOOKUP(SUBSTITUTE(vLS_1[[#This Row],[Seeding Jar]], "*", ""), Jars[Jar], Jars[Fertilizer Added (g)])))</f>
        <v>1.57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Row],[Date Terminated]]="", "", TEXT(Growing[[#This Row],[Date Terminated]], "YYYY-MM-dd"))</f>
        <v>2026-07-14</v>
      </c>
      <c r="G27" t="str">
        <f ca="1">IF(Growing[[#This Row],[Final Root Length (mm)]]="", "", IFERROR(VALUE(Growing[[#This Row],[Final Root Length (mm)]]), ""))</f>
        <v/>
      </c>
      <c r="H27" t="str">
        <f ca="1">IFERROR(VALUE(DATEVALUE(vLS_1[[#This Row],[Date Terminated]])-DATEVALUE(vLS_1[[#This Row],[Transplant Date]])), "")</f>
        <v/>
      </c>
      <c r="I27" t="str">
        <f ca="1">IFERROR(ROUND(vLS_1[[#This Row],[Final Root Length (mm)]]/vLS_1[[#This Row],[Days Between]], 2), "")</f>
        <v/>
      </c>
      <c r="J27">
        <f ca="1">IF(AND(ISNUMBER(vLS_1[[#This Row],[Final Root Length (mm)]]),ISNUMBER(vLS_1[[#This Row],[Days Between]]),vLS_1[[#This Row],[Days Between]]&gt;0,ISNUMBER(vLS_1[[#This Row],[Fertilizer Added (g)]])), 1, 0)</f>
        <v>0</v>
      </c>
      <c r="N27" s="17" t="str" cm="1">
        <f t="array" aca="1" ref="N27" ca="1">_xlfn.LET(_xlpm.value, OFFSET(INDIRECT(ADDRESS(ROW(),COLUMN())),0,-2), IF(_xlpm.value="","",_xlpm.value))</f>
        <v/>
      </c>
      <c r="O27" s="17" t="str" cm="1">
        <f t="array" aca="1" ref="O27" ca="1">_xlfn.LET(_xlpm.value, OFFSET(INDIRECT(ADDRESS(ROW(),COLUMN())),0,-2), IF(_xlpm.value="","",_xlpm.value))</f>
        <v/>
      </c>
      <c r="P27" s="17" t="str">
        <f ca="1">IFERROR(ROUND(AVERAGEIFS(vLS_1[Root Length per Day (mm/day)],vLS_1[Seed],vLS_2[[#This Row],[Seed]], vLS_1[Fertilizer Added (g)], vLS_2[[#This Row],[Fertilizer Added (g)]]), 2), "")</f>
        <v/>
      </c>
    </row>
    <row r="28" spans="1:16">
      <c r="A28" t="str" cm="1">
        <f t="array" aca="1" ref="A28" ca="1">_xlfn.LET(
    _xlpm.value, INDEX(Growing[Seeding Jar], ROW()-ROW(Growing[#Headers])),
    IF(_xlpm.value="", "", _xlpm.value)
)</f>
        <v>22</v>
      </c>
      <c r="B28">
        <f ca="1">IF(vLS_1[[#This Row],[Seeding Jar]]="", "", VALUE(_xlfn.XLOOKUP(SUBSTITUTE(vLS_1[[#This Row],[Seeding Jar]], "*", ""), Jars[Jar], Jars[Fertilizer Added (g)])))</f>
        <v>1.83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Row],[Date Terminated]]="", "", TEXT(Growing[[#This Row],[Date Terminated]], "YYYY-MM-dd"))</f>
        <v/>
      </c>
      <c r="G28" t="str">
        <f ca="1">IF(Growing[[#This Row],[Final Root Length (mm)]]="", "", IFERROR(VALUE(Growing[[#This Row],[Final Root Length (mm)]]), ""))</f>
        <v/>
      </c>
      <c r="H28" t="str">
        <f ca="1">IFERROR(VALUE(DATEVALUE(vLS_1[[#This Row],[Date Terminated]])-DATEVALUE(vLS_1[[#This Row],[Transplant Date]])), "")</f>
        <v/>
      </c>
      <c r="I28" t="str">
        <f ca="1">IFERROR(ROUND(vLS_1[[#This Row],[Final Root Length (mm)]]/vLS_1[[#This Row],[Days Between]], 2), "")</f>
        <v/>
      </c>
      <c r="J28">
        <f ca="1">IF(AND(ISNUMBER(vLS_1[[#This Row],[Final Root Length (mm)]]),ISNUMBER(vLS_1[[#This Row],[Days Between]]),vLS_1[[#This Row],[Days Between]]&gt;0,ISNUMBER(vLS_1[[#This Row],[Fertilizer Added (g)]])), 1, 0)</f>
        <v>0</v>
      </c>
      <c r="N28" s="17" t="str" cm="1">
        <f t="array" aca="1" ref="N28" ca="1">_xlfn.LET(_xlpm.value, OFFSET(INDIRECT(ADDRESS(ROW(),COLUMN())),0,-2), IF(_xlpm.value="","",_xlpm.value))</f>
        <v/>
      </c>
      <c r="O28" s="17" t="str" cm="1">
        <f t="array" aca="1" ref="O28" ca="1">_xlfn.LET(_xlpm.value, OFFSET(INDIRECT(ADDRESS(ROW(),COLUMN())),0,-2), IF(_xlpm.value="","",_xlpm.value))</f>
        <v/>
      </c>
      <c r="P28" s="17" t="str">
        <f ca="1">IFERROR(ROUND(AVERAGEIFS(vLS_1[Root Length per Day (mm/day)],vLS_1[Seed],vLS_2[[#This Row],[Seed]], vLS_1[Fertilizer Added (g)], vLS_2[[#This Row],[Fertilizer Added (g)]]), 2), "")</f>
        <v/>
      </c>
    </row>
    <row r="29" spans="1:16">
      <c r="A29" t="str" cm="1">
        <f t="array" aca="1" ref="A29" ca="1">_xlfn.LET(
    _xlpm.value, INDEX(Growing[Seeding Jar], ROW()-ROW(Growing[#Headers])),
    IF(_xlpm.value="", "", _xlpm.value)
)</f>
        <v>23</v>
      </c>
      <c r="B29">
        <f ca="1">IF(vLS_1[[#This Row],[Seeding Jar]]="", "", VALUE(_xlfn.XLOOKUP(SUBSTITUTE(vLS_1[[#This Row],[Seeding Jar]], "*", ""), Jars[Jar], Jars[Fertilizer Added (g)])))</f>
        <v>0.23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Row],[Date Terminated]]="", "", TEXT(Growing[[#This Row],[Date Terminated]], "YYYY-MM-dd"))</f>
        <v/>
      </c>
      <c r="G29" t="str">
        <f ca="1">IF(Growing[[#This Row],[Final Root Length (mm)]]="", "", IFERROR(VALUE(Growing[[#This Row],[Final Root Length (mm)]]), ""))</f>
        <v/>
      </c>
      <c r="H29" t="str">
        <f ca="1">IFERROR(VALUE(DATEVALUE(vLS_1[[#This Row],[Date Terminated]])-DATEVALUE(vLS_1[[#This Row],[Transplant Date]])), "")</f>
        <v/>
      </c>
      <c r="I29" t="str">
        <f ca="1">IFERROR(ROUND(vLS_1[[#This Row],[Final Root Length (mm)]]/vLS_1[[#This Row],[Days Between]], 2), "")</f>
        <v/>
      </c>
      <c r="J29">
        <f ca="1">IF(AND(ISNUMBER(vLS_1[[#This Row],[Final Root Length (mm)]]),ISNUMBER(vLS_1[[#This Row],[Days Between]]),vLS_1[[#This Row],[Days Between]]&gt;0,ISNUMBER(vLS_1[[#This Row],[Fertilizer Added (g)]])), 1, 0)</f>
        <v>0</v>
      </c>
      <c r="N29" s="17" t="str" cm="1">
        <f t="array" aca="1" ref="N29" ca="1">_xlfn.LET(_xlpm.value, OFFSET(INDIRECT(ADDRESS(ROW(),COLUMN())),0,-2), IF(_xlpm.value="","",_xlpm.value))</f>
        <v/>
      </c>
      <c r="O29" s="17" t="str" cm="1">
        <f t="array" aca="1" ref="O29" ca="1">_xlfn.LET(_xlpm.value, OFFSET(INDIRECT(ADDRESS(ROW(),COLUMN())),0,-2), IF(_xlpm.value="","",_xlpm.value))</f>
        <v/>
      </c>
      <c r="P29" s="17" t="str">
        <f ca="1">IFERROR(ROUND(AVERAGEIFS(vLS_1[Root Length per Day (mm/day)],vLS_1[Seed],vLS_2[[#This Row],[Seed]], vLS_1[Fertilizer Added (g)], vLS_2[[#This Row],[Fertilizer Added (g)]]), 2), "")</f>
        <v/>
      </c>
    </row>
    <row r="30" spans="1:16">
      <c r="A30" t="str" cm="1">
        <f t="array" aca="1" ref="A30" ca="1">_xlfn.LET(
    _xlpm.value, INDEX(Growing[Seeding Jar], ROW()-ROW(Growing[#Headers])),
    IF(_xlpm.value="", "", _xlpm.value)
)</f>
        <v>24</v>
      </c>
      <c r="B30">
        <f ca="1">IF(vLS_1[[#This Row],[Seeding Jar]]="", "", VALUE(_xlfn.XLOOKUP(SUBSTITUTE(vLS_1[[#This Row],[Seeding Jar]], "*", ""), Jars[Jar], Jars[Fertilizer Added (g)])))</f>
        <v>0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Row],[Date Terminated]]="", "", TEXT(Growing[[#This Row],[Date Terminated]], "YYYY-MM-dd"))</f>
        <v/>
      </c>
      <c r="G30" t="str">
        <f ca="1">IF(Growing[[#This Row],[Final Root Length (mm)]]="", "", IFERROR(VALUE(Growing[[#This Row],[Final Root Length (mm)]]), ""))</f>
        <v/>
      </c>
      <c r="H30" t="str">
        <f ca="1">IFERROR(VALUE(DATEVALUE(vLS_1[[#This Row],[Date Terminated]])-DATEVALUE(vLS_1[[#This Row],[Transplant Date]])), "")</f>
        <v/>
      </c>
      <c r="I30" t="str">
        <f ca="1">IFERROR(ROUND(vLS_1[[#This Row],[Final Root Length (mm)]]/vLS_1[[#This Row],[Days Between]], 2), "")</f>
        <v/>
      </c>
      <c r="J30">
        <f ca="1">IF(AND(ISNUMBER(vLS_1[[#This Row],[Final Root Length (mm)]]),ISNUMBER(vLS_1[[#This Row],[Days Between]]),vLS_1[[#This Row],[Days Between]]&gt;0,ISNUMBER(vLS_1[[#This Row],[Fertilizer Added (g)]])), 1, 0)</f>
        <v>0</v>
      </c>
      <c r="N30" s="17" t="str" cm="1">
        <f t="array" aca="1" ref="N30" ca="1">_xlfn.LET(_xlpm.value, OFFSET(INDIRECT(ADDRESS(ROW(),COLUMN())),0,-2), IF(_xlpm.value="","",_xlpm.value))</f>
        <v/>
      </c>
      <c r="O30" s="17" t="str" cm="1">
        <f t="array" aca="1" ref="O30" ca="1">_xlfn.LET(_xlpm.value, OFFSET(INDIRECT(ADDRESS(ROW(),COLUMN())),0,-2), IF(_xlpm.value="","",_xlpm.value))</f>
        <v/>
      </c>
      <c r="P30" s="17" t="str">
        <f ca="1">IFERROR(ROUND(AVERAGEIFS(vLS_1[Root Length per Day (mm/day)],vLS_1[Seed],vLS_2[[#This Row],[Seed]], vLS_1[Fertilizer Added (g)], vLS_2[[#This Row],[Fertilizer Added (g)]]), 2), "")</f>
        <v/>
      </c>
    </row>
    <row r="31" spans="1:16">
      <c r="A31" t="str" cm="1">
        <f t="array" aca="1" ref="A31" ca="1">_xlfn.LET(
    _xlpm.value, INDEX(Growing[Seeding Jar], ROW()-ROW(Growing[#Headers])),
    IF(_xlpm.value="", "", _xlpm.value)
)</f>
        <v>25</v>
      </c>
      <c r="B31">
        <f ca="1">IF(vLS_1[[#This Row],[Seeding Jar]]="", "", VALUE(_xlfn.XLOOKUP(SUBSTITUTE(vLS_1[[#This Row],[Seeding Jar]], "*", ""), Jars[Jar], Jars[Fertilizer Added (g)])))</f>
        <v>0.17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Row],[Date Terminated]]="", "", TEXT(Growing[[#This Row],[Date Terminated]], "YYYY-MM-dd"))</f>
        <v/>
      </c>
      <c r="G31" t="str">
        <f ca="1">IF(Growing[[#This Row],[Final Root Length (mm)]]="", "", IFERROR(VALUE(Growing[[#This Row],[Final Root Length (mm)]]), ""))</f>
        <v/>
      </c>
      <c r="H31" t="str">
        <f ca="1">IFERROR(VALUE(DATEVALUE(vLS_1[[#This Row],[Date Terminated]])-DATEVALUE(vLS_1[[#This Row],[Transplant Date]])), "")</f>
        <v/>
      </c>
      <c r="I31" t="str">
        <f ca="1">IFERROR(ROUND(vLS_1[[#This Row],[Final Root Length (mm)]]/vLS_1[[#This Row],[Days Between]], 2), "")</f>
        <v/>
      </c>
      <c r="J31">
        <f ca="1">IF(AND(ISNUMBER(vLS_1[[#This Row],[Final Root Length (mm)]]),ISNUMBER(vLS_1[[#This Row],[Days Between]]),vLS_1[[#This Row],[Days Between]]&gt;0,ISNUMBER(vLS_1[[#This Row],[Fertilizer Added (g)]])), 1, 0)</f>
        <v>0</v>
      </c>
      <c r="N31" s="17" t="str" cm="1">
        <f t="array" aca="1" ref="N31" ca="1">_xlfn.LET(_xlpm.value, OFFSET(INDIRECT(ADDRESS(ROW(),COLUMN())),0,-2), IF(_xlpm.value="","",_xlpm.value))</f>
        <v/>
      </c>
      <c r="O31" s="17" t="str" cm="1">
        <f t="array" aca="1" ref="O31" ca="1">_xlfn.LET(_xlpm.value, OFFSET(INDIRECT(ADDRESS(ROW(),COLUMN())),0,-2), IF(_xlpm.value="","",_xlpm.value))</f>
        <v/>
      </c>
      <c r="P31" s="17" t="str">
        <f ca="1">IFERROR(ROUND(AVERAGEIFS(vLS_1[Root Length per Day (mm/day)],vLS_1[Seed],vLS_2[[#This Row],[Seed]], vLS_1[Fertilizer Added (g)], vLS_2[[#This Row],[Fertilizer Added (g)]]), 2), "")</f>
        <v/>
      </c>
    </row>
    <row r="32" spans="1:16">
      <c r="A32" t="str" cm="1">
        <f t="array" aca="1" ref="A32" ca="1">_xlfn.LET(
    _xlpm.value, INDEX(Growing[Seeding Jar], ROW()-ROW(Growing[#Headers])),
    IF(_xlpm.value="", "", _xlpm.value)
)</f>
        <v>26</v>
      </c>
      <c r="B32">
        <f ca="1">IF(vLS_1[[#This Row],[Seeding Jar]]="", "", VALUE(_xlfn.XLOOKUP(SUBSTITUTE(vLS_1[[#This Row],[Seeding Jar]], "*", ""), Jars[Jar], Jars[Fertilizer Added (g)])))</f>
        <v>1.87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Row],[Date Terminated]]="", "", TEXT(Growing[[#This Row],[Date Terminated]], "YYYY-MM-dd"))</f>
        <v/>
      </c>
      <c r="G32" t="str">
        <f ca="1">IF(Growing[[#This Row],[Final Root Length (mm)]]="", "", IFERROR(VALUE(Growing[[#This Row],[Final Root Length (mm)]]), ""))</f>
        <v/>
      </c>
      <c r="H32" t="str">
        <f ca="1">IFERROR(VALUE(DATEVALUE(vLS_1[[#This Row],[Date Terminated]])-DATEVALUE(vLS_1[[#This Row],[Transplant Date]])), "")</f>
        <v/>
      </c>
      <c r="I32" t="str">
        <f ca="1">IFERROR(ROUND(vLS_1[[#This Row],[Final Root Length (mm)]]/vLS_1[[#This Row],[Days Between]], 2), "")</f>
        <v/>
      </c>
      <c r="J32">
        <f ca="1">IF(AND(ISNUMBER(vLS_1[[#This Row],[Final Root Length (mm)]]),ISNUMBER(vLS_1[[#This Row],[Days Between]]),vLS_1[[#This Row],[Days Between]]&gt;0,ISNUMBER(vLS_1[[#This Row],[Fertilizer Added (g)]])), 1, 0)</f>
        <v>0</v>
      </c>
      <c r="N32" s="17" t="str" cm="1">
        <f t="array" aca="1" ref="N32" ca="1">_xlfn.LET(_xlpm.value, OFFSET(INDIRECT(ADDRESS(ROW(),COLUMN())),0,-2), IF(_xlpm.value="","",_xlpm.value))</f>
        <v/>
      </c>
      <c r="O32" s="17" t="str" cm="1">
        <f t="array" aca="1" ref="O32" ca="1">_xlfn.LET(_xlpm.value, OFFSET(INDIRECT(ADDRESS(ROW(),COLUMN())),0,-2), IF(_xlpm.value="","",_xlpm.value))</f>
        <v/>
      </c>
      <c r="P32" s="17" t="str">
        <f ca="1">IFERROR(ROUND(AVERAGEIFS(vLS_1[Root Length per Day (mm/day)],vLS_1[Seed],vLS_2[[#This Row],[Seed]], vLS_1[Fertilizer Added (g)], vLS_2[[#This Row],[Fertilizer Added (g)]]), 2), "")</f>
        <v/>
      </c>
    </row>
    <row r="33" spans="1:16">
      <c r="A33" t="str" cm="1">
        <f t="array" aca="1" ref="A33" ca="1">_xlfn.LET(
    _xlpm.value, INDEX(Growing[Seeding Jar], ROW()-ROW(Growing[#Headers])),
    IF(_xlpm.value="", "", _xlpm.value)
)</f>
        <v>23*</v>
      </c>
      <c r="B33">
        <f ca="1">IF(vLS_1[[#This Row],[Seeding Jar]]="", "", VALUE(_xlfn.XLOOKUP(SUBSTITUTE(vLS_1[[#This Row],[Seeding Jar]], "*", ""), Jars[Jar], Jars[Fertilizer Added (g)])))</f>
        <v>0.23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 t="str">
        <f ca="1">IF(Growing[[#This Row],[Date Terminated]]="", "", TEXT(Growing[[#This Row],[Date Terminated]], "YYYY-MM-dd"))</f>
        <v/>
      </c>
      <c r="G33" t="str">
        <f ca="1">IF(Growing[[#This Row],[Final Root Length (mm)]]="", "", IFERROR(VALUE(Growing[[#This Row],[Final Root Length (mm)]]), ""))</f>
        <v/>
      </c>
      <c r="H33" t="str">
        <f ca="1">IFERROR(VALUE(DATEVALUE(vLS_1[[#This Row],[Date Terminated]])-DATEVALUE(vLS_1[[#This Row],[Transplant Date]])), "")</f>
        <v/>
      </c>
      <c r="I33" t="str">
        <f ca="1">IFERROR(ROUND(vLS_1[[#This Row],[Final Root Length (mm)]]/vLS_1[[#This Row],[Days Between]], 2), "")</f>
        <v/>
      </c>
      <c r="J33">
        <f ca="1">IF(AND(ISNUMBER(vLS_1[[#This Row],[Final Root Length (mm)]]),ISNUMBER(vLS_1[[#This Row],[Days Between]]),vLS_1[[#This Row],[Days Between]]&gt;0,ISNUMBER(vLS_1[[#This Row],[Fertilizer Added (g)]])), 1, 0)</f>
        <v>0</v>
      </c>
      <c r="N33" s="17" t="str" cm="1">
        <f t="array" aca="1" ref="N33" ca="1">_xlfn.LET(_xlpm.value, OFFSET(INDIRECT(ADDRESS(ROW(),COLUMN())),0,-2), IF(_xlpm.value="","",_xlpm.value))</f>
        <v/>
      </c>
      <c r="O33" s="17" t="str" cm="1">
        <f t="array" aca="1" ref="O33" ca="1">_xlfn.LET(_xlpm.value, OFFSET(INDIRECT(ADDRESS(ROW(),COLUMN())),0,-2), IF(_xlpm.value="","",_xlpm.value))</f>
        <v/>
      </c>
      <c r="P33" s="17" t="str">
        <f ca="1">IFERROR(ROUND(AVERAGEIFS(vLS_1[Root Length per Day (mm/day)],vLS_1[Seed],vLS_2[[#This Row],[Seed]], vLS_1[Fertilizer Added (g)], vLS_2[[#This Row],[Fertilizer Added (g)]]), 2), "")</f>
        <v/>
      </c>
    </row>
    <row r="34" spans="1:16">
      <c r="A34" t="str" cm="1">
        <f t="array" aca="1" ref="A34" ca="1">_xlfn.LET(
    _xlpm.value, INDEX(Growing[Seeding Jar], ROW()-ROW(Growing[#Headers])),
    IF(_xlpm.value="", "", _xlpm.value)
)</f>
        <v>32</v>
      </c>
      <c r="B34">
        <f ca="1">IF(vLS_1[[#This Row],[Seeding Jar]]="", "", VALUE(_xlfn.XLOOKUP(SUBSTITUTE(vLS_1[[#This Row],[Seeding Jar]], "*", ""), Jars[Jar], Jars[Fertilizer Added (g)])))</f>
        <v>0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 t="str">
        <f ca="1">IF(Growing[[#This Row],[Date Terminated]]="", "", TEXT(Growing[[#This Row],[Date Terminated]], "YYYY-MM-dd"))</f>
        <v/>
      </c>
      <c r="G34" t="str">
        <f ca="1">IF(Growing[[#This Row],[Final Root Length (mm)]]="", "", IFERROR(VALUE(Growing[[#This Row],[Final Root Length (mm)]]), ""))</f>
        <v/>
      </c>
      <c r="H34" t="str">
        <f ca="1">IFERROR(VALUE(DATEVALUE(vLS_1[[#This Row],[Date Terminated]])-DATEVALUE(vLS_1[[#This Row],[Transplant Date]])), "")</f>
        <v/>
      </c>
      <c r="I34" t="str">
        <f ca="1">IFERROR(ROUND(vLS_1[[#This Row],[Final Root Length (mm)]]/vLS_1[[#This Row],[Days Between]], 2), "")</f>
        <v/>
      </c>
      <c r="J34">
        <f ca="1">IF(AND(ISNUMBER(vLS_1[[#This Row],[Final Root Length (mm)]]),ISNUMBER(vLS_1[[#This Row],[Days Between]]),vLS_1[[#This Row],[Days Between]]&gt;0,ISNUMBER(vLS_1[[#This Row],[Fertilizer Added (g)]])), 1, 0)</f>
        <v>0</v>
      </c>
      <c r="N34" s="17" t="str" cm="1">
        <f t="array" aca="1" ref="N34" ca="1">_xlfn.LET(_xlpm.value, OFFSET(INDIRECT(ADDRESS(ROW(),COLUMN())),0,-2), IF(_xlpm.value="","",_xlpm.value))</f>
        <v/>
      </c>
      <c r="O34" s="17" t="str" cm="1">
        <f t="array" aca="1" ref="O34" ca="1">_xlfn.LET(_xlpm.value, OFFSET(INDIRECT(ADDRESS(ROW(),COLUMN())),0,-2), IF(_xlpm.value="","",_xlpm.value))</f>
        <v/>
      </c>
      <c r="P34" s="17" t="str">
        <f ca="1">IFERROR(ROUND(AVERAGEIFS(vLS_1[Root Length per Day (mm/day)],vLS_1[Seed],vLS_2[[#This Row],[Seed]], vLS_1[Fertilizer Added (g)], vLS_2[[#This Row],[Fertilizer Added (g)]]), 2), "")</f>
        <v/>
      </c>
    </row>
    <row r="35" spans="1:16">
      <c r="A35" t="str" cm="1">
        <f t="array" aca="1" ref="A35" ca="1">_xlfn.LET(
    _xlpm.value, INDEX(Growing[Seeding Jar], ROW()-ROW(Growing[#Headers])),
    IF(_xlpm.value="", "", _xlpm.value)
)</f>
        <v>25*</v>
      </c>
      <c r="B35">
        <f ca="1">IF(vLS_1[[#This Row],[Seeding Jar]]="", "", VALUE(_xlfn.XLOOKUP(SUBSTITUTE(vLS_1[[#This Row],[Seeding Jar]], "*", ""), Jars[Jar], Jars[Fertilizer Added (g)])))</f>
        <v>0.17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 t="str">
        <f ca="1">IF(Growing[[#This Row],[Date Terminated]]="", "", TEXT(Growing[[#This Row],[Date Terminated]], "YYYY-MM-dd"))</f>
        <v/>
      </c>
      <c r="G35" t="str">
        <f ca="1">IF(Growing[[#This Row],[Final Root Length (mm)]]="", "", IFERROR(VALUE(Growing[[#This Row],[Final Root Length (mm)]]), ""))</f>
        <v/>
      </c>
      <c r="H35" t="str">
        <f ca="1">IFERROR(VALUE(DATEVALUE(vLS_1[[#This Row],[Date Terminated]])-DATEVALUE(vLS_1[[#This Row],[Transplant Date]])), "")</f>
        <v/>
      </c>
      <c r="I35" t="str">
        <f ca="1">IFERROR(ROUND(vLS_1[[#This Row],[Final Root Length (mm)]]/vLS_1[[#This Row],[Days Between]], 2), "")</f>
        <v/>
      </c>
      <c r="J35">
        <f ca="1">IF(AND(ISNUMBER(vLS_1[[#This Row],[Final Root Length (mm)]]),ISNUMBER(vLS_1[[#This Row],[Days Between]]),vLS_1[[#This Row],[Days Between]]&gt;0,ISNUMBER(vLS_1[[#This Row],[Fertilizer Added (g)]])), 1, 0)</f>
        <v>0</v>
      </c>
      <c r="N35" s="17" t="str" cm="1">
        <f t="array" aca="1" ref="N35" ca="1">_xlfn.LET(_xlpm.value, OFFSET(INDIRECT(ADDRESS(ROW(),COLUMN())),0,-2), IF(_xlpm.value="","",_xlpm.value))</f>
        <v/>
      </c>
      <c r="O35" s="17" t="str" cm="1">
        <f t="array" aca="1" ref="O35" ca="1">_xlfn.LET(_xlpm.value, OFFSET(INDIRECT(ADDRESS(ROW(),COLUMN())),0,-2), IF(_xlpm.value="","",_xlpm.value))</f>
        <v/>
      </c>
      <c r="P35" s="17" t="str">
        <f ca="1">IFERROR(ROUND(AVERAGEIFS(vLS_1[Root Length per Day (mm/day)],vLS_1[Seed],vLS_2[[#This Row],[Seed]], vLS_1[Fertilizer Added (g)], vLS_2[[#This Row],[Fertilizer Added (g)]]), 2), "")</f>
        <v/>
      </c>
    </row>
    <row r="36" spans="1:16">
      <c r="A36" t="str" cm="1">
        <f t="array" aca="1" ref="A36" ca="1">_xlfn.LET(
    _xlpm.value, INDEX(Growing[Seeding Jar], ROW()-ROW(Growing[#Headers])),
    IF(_xlpm.value="", "", _xlpm.value)
)</f>
        <v>33.1</v>
      </c>
      <c r="B36">
        <f ca="1">IF(vLS_1[[#This Row],[Seeding Jar]]="", "", VALUE(_xlfn.XLOOKUP(SUBSTITUTE(vLS_1[[#This Row],[Seeding Jar]], "*", ""), Jars[Jar], Jars[Fertilizer Added (g)])))</f>
        <v>0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Row],[Date Terminated]]="", "", TEXT(Growing[[#This Row],[Date Terminated]], "YYYY-MM-dd"))</f>
        <v>2026-09-24</v>
      </c>
      <c r="G36" t="str">
        <f ca="1">IF(Growing[[#This Row],[Final Root Length (mm)]]="", "", IFERROR(VALUE(Growing[[#This Row],[Final Root Length (mm)]]), ""))</f>
        <v/>
      </c>
      <c r="H36" t="str">
        <f ca="1">IFERROR(VALUE(DATEVALUE(vLS_1[[#This Row],[Date Terminated]])-DATEVALUE(vLS_1[[#This Row],[Transplant Date]])), "")</f>
        <v/>
      </c>
      <c r="I36" t="str">
        <f ca="1">IFERROR(ROUND(vLS_1[[#This Row],[Final Root Length (mm)]]/vLS_1[[#This Row],[Days Between]], 2), "")</f>
        <v/>
      </c>
      <c r="J36">
        <f ca="1">IF(AND(ISNUMBER(vLS_1[[#This Row],[Final Root Length (mm)]]),ISNUMBER(vLS_1[[#This Row],[Days Between]]),vLS_1[[#This Row],[Days Between]]&gt;0,ISNUMBER(vLS_1[[#This Row],[Fertilizer Added (g)]])), 1, 0)</f>
        <v>0</v>
      </c>
      <c r="N36" s="17" t="str" cm="1">
        <f t="array" aca="1" ref="N36" ca="1">_xlfn.LET(_xlpm.value, OFFSET(INDIRECT(ADDRESS(ROW(),COLUMN())),0,-2), IF(_xlpm.value="","",_xlpm.value))</f>
        <v/>
      </c>
      <c r="O36" s="17" t="str" cm="1">
        <f t="array" aca="1" ref="O36" ca="1">_xlfn.LET(_xlpm.value, OFFSET(INDIRECT(ADDRESS(ROW(),COLUMN())),0,-2), IF(_xlpm.value="","",_xlpm.value))</f>
        <v/>
      </c>
      <c r="P36" s="17" t="str">
        <f ca="1">IFERROR(ROUND(AVERAGEIFS(vLS_1[Root Length per Day (mm/day)],vLS_1[Seed],vLS_2[[#This Row],[Seed]], vLS_1[Fertilizer Added (g)], vLS_2[[#This Row],[Fertilizer Added (g)]]), 2), "")</f>
        <v/>
      </c>
    </row>
    <row r="37" spans="1:16">
      <c r="A37" t="str" cm="1">
        <f t="array" aca="1" ref="A37" ca="1">_xlfn.LET(
    _xlpm.value, INDEX(Growing[Seeding Jar], ROW()-ROW(Growing[#Headers])),
    IF(_xlpm.value="", "", _xlpm.value)
)</f>
        <v>34.1</v>
      </c>
      <c r="B37">
        <f ca="1">IF(vLS_1[[#This Row],[Seeding Jar]]="", "", VALUE(_xlfn.XLOOKUP(SUBSTITUTE(vLS_1[[#This Row],[Seeding Jar]], "*", ""), Jars[Jar], Jars[Fertilizer Added (g)])))</f>
        <v>0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Row],[Date Terminated]]="", "", TEXT(Growing[[#This Row],[Date Terminated]], "YYYY-MM-dd"))</f>
        <v>2026-09-24</v>
      </c>
      <c r="G37" t="str">
        <f ca="1">IF(Growing[[#This Row],[Final Root Length (mm)]]="", "", IFERROR(VALUE(Growing[[#This Row],[Final Root Length (mm)]]), ""))</f>
        <v/>
      </c>
      <c r="H37" t="str">
        <f ca="1">IFERROR(VALUE(DATEVALUE(vLS_1[[#This Row],[Date Terminated]])-DATEVALUE(vLS_1[[#This Row],[Transplant Date]])), "")</f>
        <v/>
      </c>
      <c r="I37" t="str">
        <f ca="1">IFERROR(ROUND(vLS_1[[#This Row],[Final Root Length (mm)]]/vLS_1[[#This Row],[Days Between]], 2), "")</f>
        <v/>
      </c>
      <c r="J3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8" spans="1:16">
      <c r="A38" t="str" cm="1">
        <f t="array" aca="1" ref="A38" ca="1">_xlfn.LET(
    _xlpm.value, INDEX(Growing[Seeding Jar], ROW()-ROW(Growing[#Headers])),
    IF(_xlpm.value="", "", _xlpm.value)
)</f>
        <v>35.1</v>
      </c>
      <c r="B38">
        <f ca="1">IF(vLS_1[[#This Row],[Seeding Jar]]="", "", VALUE(_xlfn.XLOOKUP(SUBSTITUTE(vLS_1[[#This Row],[Seeding Jar]], "*", ""), Jars[Jar], Jars[Fertilizer Added (g)])))</f>
        <v>0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Row],[Date Terminated]]="", "", TEXT(Growing[[#This Row],[Date Terminated]], "YYYY-MM-dd"))</f>
        <v>2026-09-24</v>
      </c>
      <c r="G38" t="str">
        <f ca="1">IF(Growing[[#This Row],[Final Root Length (mm)]]="", "", IFERROR(VALUE(Growing[[#This Row],[Final Root Length (mm)]]), ""))</f>
        <v/>
      </c>
      <c r="H38" t="str">
        <f ca="1">IFERROR(VALUE(DATEVALUE(vLS_1[[#This Row],[Date Terminated]])-DATEVALUE(vLS_1[[#This Row],[Transplant Date]])), "")</f>
        <v/>
      </c>
      <c r="I38" t="str">
        <f ca="1">IFERROR(ROUND(vLS_1[[#This Row],[Final Root Length (mm)]]/vLS_1[[#This Row],[Days Between]], 2), "")</f>
        <v/>
      </c>
      <c r="J3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9" spans="1:16">
      <c r="A39" t="str" cm="1">
        <f t="array" aca="1" ref="A39" ca="1">_xlfn.LET(
    _xlpm.value, INDEX(Growing[Seeding Jar], ROW()-ROW(Growing[#Headers])),
    IF(_xlpm.value="", "", _xlpm.value)
)</f>
        <v>33.2</v>
      </c>
      <c r="B39">
        <f ca="1">IF(vLS_1[[#This Row],[Seeding Jar]]="", "", VALUE(_xlfn.XLOOKUP(SUBSTITUTE(vLS_1[[#This Row],[Seeding Jar]], "*", ""), Jars[Jar], Jars[Fertilizer Added (g)])))</f>
        <v>0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Row],[Date Terminated]]="", "", TEXT(Growing[[#This Row],[Date Terminated]], "YYYY-MM-dd"))</f>
        <v/>
      </c>
      <c r="G39" t="str">
        <f ca="1">IF(Growing[[#This Row],[Final Root Length (mm)]]="", "", IFERROR(VALUE(Growing[[#This Row],[Final Root Length (mm)]]), ""))</f>
        <v/>
      </c>
      <c r="H39" t="str">
        <f ca="1">IFERROR(VALUE(DATEVALUE(vLS_1[[#This Row],[Date Terminated]])-DATEVALUE(vLS_1[[#This Row],[Transplant Date]])), "")</f>
        <v/>
      </c>
      <c r="I39" t="str">
        <f ca="1">IFERROR(ROUND(vLS_1[[#This Row],[Final Root Length (mm)]]/vLS_1[[#This Row],[Days Between]], 2), "")</f>
        <v/>
      </c>
      <c r="J3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0" spans="1:16">
      <c r="A40" t="str" cm="1">
        <f t="array" aca="1" ref="A40" ca="1">_xlfn.LET(
    _xlpm.value, INDEX(Growing[Seeding Jar], ROW()-ROW(Growing[#Headers])),
    IF(_xlpm.value="", "", _xlpm.value)
)</f>
        <v>34.2</v>
      </c>
      <c r="B40">
        <f ca="1">IF(vLS_1[[#This Row],[Seeding Jar]]="", "", VALUE(_xlfn.XLOOKUP(SUBSTITUTE(vLS_1[[#This Row],[Seeding Jar]], "*", ""), Jars[Jar], Jars[Fertilizer Added (g)])))</f>
        <v>0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Row],[Date Terminated]]="", "", TEXT(Growing[[#This Row],[Date Terminated]], "YYYY-MM-dd"))</f>
        <v/>
      </c>
      <c r="G40" t="str">
        <f ca="1">IF(Growing[[#This Row],[Final Root Length (mm)]]="", "", IFERROR(VALUE(Growing[[#This Row],[Final Root Length (mm)]]), ""))</f>
        <v/>
      </c>
      <c r="H40" t="str">
        <f ca="1">IFERROR(VALUE(DATEVALUE(vLS_1[[#This Row],[Date Terminated]])-DATEVALUE(vLS_1[[#This Row],[Transplant Date]])), "")</f>
        <v/>
      </c>
      <c r="I40" t="str">
        <f ca="1">IFERROR(ROUND(vLS_1[[#This Row],[Final Root Length (mm)]]/vLS_1[[#This Row],[Days Between]], 2), "")</f>
        <v/>
      </c>
      <c r="J4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1" spans="1:16">
      <c r="A41" t="str" cm="1">
        <f t="array" aca="1" ref="A41" ca="1">_xlfn.LET(
    _xlpm.value, INDEX(Growing[Seeding Jar], ROW()-ROW(Growing[#Headers])),
    IF(_xlpm.value="", "", _xlpm.value)
)</f>
        <v>35.2</v>
      </c>
      <c r="B41">
        <f ca="1">IF(vLS_1[[#This Row],[Seeding Jar]]="", "", VALUE(_xlfn.XLOOKUP(SUBSTITUTE(vLS_1[[#This Row],[Seeding Jar]], "*", ""), Jars[Jar], Jars[Fertilizer Added (g)])))</f>
        <v>0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Row],[Date Terminated]]="", "", TEXT(Growing[[#This Row],[Date Terminated]], "YYYY-MM-dd"))</f>
        <v/>
      </c>
      <c r="G41" t="str">
        <f ca="1">IF(Growing[[#This Row],[Final Root Length (mm)]]="", "", IFERROR(VALUE(Growing[[#This Row],[Final Root Length (mm)]]), ""))</f>
        <v/>
      </c>
      <c r="H41" t="str">
        <f ca="1">IFERROR(VALUE(DATEVALUE(vLS_1[[#This Row],[Date Terminated]])-DATEVALUE(vLS_1[[#This Row],[Transplant Date]])), "")</f>
        <v/>
      </c>
      <c r="I41" t="str">
        <f ca="1">IFERROR(ROUND(vLS_1[[#This Row],[Final Root Length (mm)]]/vLS_1[[#This Row],[Days Between]], 2), "")</f>
        <v/>
      </c>
      <c r="J4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2" spans="1:16">
      <c r="A42" t="str" cm="1">
        <f t="array" aca="1" ref="A42" ca="1">_xlfn.LET(
    _xlpm.value, INDEX(Growing[Seeding Jar], ROW()-ROW(Growing[#Headers])),
    IF(_xlpm.value="", "", _xlpm.value)
)</f>
        <v>40</v>
      </c>
      <c r="B42">
        <f ca="1">IF(vLS_1[[#This Row],[Seeding Jar]]="", "", VALUE(_xlfn.XLOOKUP(SUBSTITUTE(vLS_1[[#This Row],[Seeding Jar]], "*", ""), Jars[Jar], Jars[Fertilizer Added (g)])))</f>
        <v>0.24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Row],[Date Terminated]]="", "", TEXT(Growing[[#This Row],[Date Terminated]], "YYYY-MM-dd"))</f>
        <v/>
      </c>
      <c r="G42" t="str">
        <f ca="1">IF(Growing[[#This Row],[Final Root Length (mm)]]="", "", IFERROR(VALUE(Growing[[#This Row],[Final Root Length (mm)]]), ""))</f>
        <v/>
      </c>
      <c r="H42" t="str">
        <f ca="1">IFERROR(VALUE(DATEVALUE(vLS_1[[#This Row],[Date Terminated]])-DATEVALUE(vLS_1[[#This Row],[Transplant Date]])), "")</f>
        <v/>
      </c>
      <c r="I42" t="str">
        <f ca="1">IFERROR(ROUND(vLS_1[[#This Row],[Final Root Length (mm)]]/vLS_1[[#This Row],[Days Between]], 2), "")</f>
        <v/>
      </c>
      <c r="J4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3" spans="1:16">
      <c r="A43" t="str" cm="1">
        <f t="array" aca="1" ref="A43" ca="1">_xlfn.LET(
    _xlpm.value, INDEX(Growing[Seeding Jar], ROW()-ROW(Growing[#Headers])),
    IF(_xlpm.value="", "", _xlpm.value)
)</f>
        <v>38</v>
      </c>
      <c r="B43">
        <f ca="1">IF(vLS_1[[#This Row],[Seeding Jar]]="", "", VALUE(_xlfn.XLOOKUP(SUBSTITUTE(vLS_1[[#This Row],[Seeding Jar]], "*", ""), Jars[Jar], Jars[Fertilizer Added (g)])))</f>
        <v>0.28000000000000003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Row],[Date Terminated]]="", "", TEXT(Growing[[#This Row],[Date Terminated]], "YYYY-MM-dd"))</f>
        <v/>
      </c>
      <c r="G43" t="str">
        <f ca="1">IF(Growing[[#This Row],[Final Root Length (mm)]]="", "", IFERROR(VALUE(Growing[[#This Row],[Final Root Length (mm)]]), ""))</f>
        <v/>
      </c>
      <c r="H43" t="str">
        <f ca="1">IFERROR(VALUE(DATEVALUE(vLS_1[[#This Row],[Date Terminated]])-DATEVALUE(vLS_1[[#This Row],[Transplant Date]])), "")</f>
        <v/>
      </c>
      <c r="I43" t="str">
        <f ca="1">IFERROR(ROUND(vLS_1[[#This Row],[Final Root Length (mm)]]/vLS_1[[#This Row],[Days Between]], 2), "")</f>
        <v/>
      </c>
      <c r="J4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4" spans="1:16">
      <c r="A44" t="str" cm="1">
        <f t="array" aca="1" ref="A44" ca="1">_xlfn.LET(
    _xlpm.value, INDEX(Growing[Seeding Jar], ROW()-ROW(Growing[#Headers])),
    IF(_xlpm.value="", "", _xlpm.value)
)</f>
        <v>39</v>
      </c>
      <c r="B44">
        <f ca="1">IF(vLS_1[[#This Row],[Seeding Jar]]="", "", VALUE(_xlfn.XLOOKUP(SUBSTITUTE(vLS_1[[#This Row],[Seeding Jar]], "*", ""), Jars[Jar], Jars[Fertilizer Added (g)])))</f>
        <v>0.3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Row],[Date Terminated]]="", "", TEXT(Growing[[#This Row],[Date Terminated]], "YYYY-MM-dd"))</f>
        <v/>
      </c>
      <c r="G44" t="str">
        <f ca="1">IF(Growing[[#This Row],[Final Root Length (mm)]]="", "", IFERROR(VALUE(Growing[[#This Row],[Final Root Length (mm)]]), ""))</f>
        <v/>
      </c>
      <c r="H44" t="str">
        <f ca="1">IFERROR(VALUE(DATEVALUE(vLS_1[[#This Row],[Date Terminated]])-DATEVALUE(vLS_1[[#This Row],[Transplant Date]])), "")</f>
        <v/>
      </c>
      <c r="I44" t="str">
        <f ca="1">IFERROR(ROUND(vLS_1[[#This Row],[Final Root Length (mm)]]/vLS_1[[#This Row],[Days Between]], 2), "")</f>
        <v/>
      </c>
      <c r="J4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5" spans="1:16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IF(vLS_1[[#This Row],[Seeding Jar]]="", "", VALUE(_xlfn.XLOOKUP(SUBSTITUTE(vLS_1[[#This Row],[Seeding Jar]], "*", ""), Jars[Jar], Jars[Fertilizer Added (g)])))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Row],[Date Terminated]]="", "", TEXT(Growing[[#This Row],[Date Terminated]], "YYYY-MM-dd"))</f>
        <v/>
      </c>
      <c r="G45" t="str">
        <f ca="1">IF(Growing[[#This Row],[Final Root Length (mm)]]="", "", IFERROR(VALUE(Growing[[#This Row],[Final Root Length (mm)]]), ""))</f>
        <v/>
      </c>
      <c r="H45" t="str">
        <f ca="1">IFERROR(VALUE(DATEVALUE(vLS_1[[#This Row],[Date Terminated]])-DATEVALUE(vLS_1[[#This Row],[Transplant Date]])), "")</f>
        <v/>
      </c>
      <c r="I45" t="str">
        <f ca="1">IFERROR(ROUND(vLS_1[[#This Row],[Final Root Length (mm)]]/vLS_1[[#This Row],[Days Between]], 2), "")</f>
        <v/>
      </c>
      <c r="J4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6" spans="1:16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IF(vLS_1[[#This Row],[Seeding Jar]]="", "", VALUE(_xlfn.XLOOKUP(SUBSTITUTE(vLS_1[[#This Row],[Seeding Jar]], "*", ""), Jars[Jar], Jars[Fertilizer Added (g)])))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Row],[Date Terminated]]="", "", TEXT(Growing[[#This Row],[Date Terminated]], "YYYY-MM-dd"))</f>
        <v/>
      </c>
      <c r="G46" t="str">
        <f ca="1">IF(Growing[[#This Row],[Final Root Length (mm)]]="", "", IFERROR(VALUE(Growing[[#This Row],[Final Root Length (mm)]]), ""))</f>
        <v/>
      </c>
      <c r="H46" t="str">
        <f ca="1">IFERROR(VALUE(DATEVALUE(vLS_1[[#This Row],[Date Terminated]])-DATEVALUE(vLS_1[[#This Row],[Transplant Date]])), "")</f>
        <v/>
      </c>
      <c r="I46" t="str">
        <f ca="1">IFERROR(ROUND(vLS_1[[#This Row],[Final Root Length (mm)]]/vLS_1[[#This Row],[Days Between]], 2), "")</f>
        <v/>
      </c>
      <c r="J4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7" spans="1:16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IF(vLS_1[[#This Row],[Seeding Jar]]="", "", VALUE(_xlfn.XLOOKUP(SUBSTITUTE(vLS_1[[#This Row],[Seeding Jar]], "*", ""), Jars[Jar], Jars[Fertilizer Added (g)])))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Row],[Date Terminated]]="", "", TEXT(Growing[[#This Row],[Date Terminated]], "YYYY-MM-dd"))</f>
        <v/>
      </c>
      <c r="G47" t="str">
        <f ca="1">IF(Growing[[#This Row],[Final Root Length (mm)]]="", "", IFERROR(VALUE(Growing[[#This Row],[Final Root Length (mm)]]), ""))</f>
        <v/>
      </c>
      <c r="H47" t="str">
        <f ca="1">IFERROR(VALUE(DATEVALUE(vLS_1[[#This Row],[Date Terminated]])-DATEVALUE(vLS_1[[#This Row],[Transplant Date]])), "")</f>
        <v/>
      </c>
      <c r="I47" t="str">
        <f ca="1">IFERROR(ROUND(vLS_1[[#This Row],[Final Root Length (mm)]]/vLS_1[[#This Row],[Days Between]], 2), "")</f>
        <v/>
      </c>
      <c r="J4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8" spans="1:16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IF(vLS_1[[#This Row],[Seeding Jar]]="", "", VALUE(_xlfn.XLOOKUP(SUBSTITUTE(vLS_1[[#This Row],[Seeding Jar]], "*", ""), Jars[Jar], Jars[Fertilizer Added (g)])))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Row],[Date Terminated]]="", "", TEXT(Growing[[#This Row],[Date Terminated]], "YYYY-MM-dd"))</f>
        <v/>
      </c>
      <c r="G48" t="str">
        <f ca="1">IF(Growing[[#This Row],[Final Root Length (mm)]]="", "", IFERROR(VALUE(Growing[[#This Row],[Final Root Length (mm)]]), ""))</f>
        <v/>
      </c>
      <c r="H48" t="str">
        <f ca="1">IFERROR(VALUE(DATEVALUE(vLS_1[[#This Row],[Date Terminated]])-DATEVALUE(vLS_1[[#This Row],[Transplant Date]])), "")</f>
        <v/>
      </c>
      <c r="I48" t="str">
        <f ca="1">IFERROR(ROUND(vLS_1[[#This Row],[Final Root Length (mm)]]/vLS_1[[#This Row],[Days Between]], 2), "")</f>
        <v/>
      </c>
      <c r="J4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9" spans="1:10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IF(vLS_1[[#This Row],[Seeding Jar]]="", "", VALUE(_xlfn.XLOOKUP(SUBSTITUTE(vLS_1[[#This Row],[Seeding Jar]], "*", ""), Jars[Jar], Jars[Fertilizer Added (g)])))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Row],[Date Terminated]]="", "", TEXT(Growing[[#This Row],[Date Terminated]], "YYYY-MM-dd"))</f>
        <v/>
      </c>
      <c r="G49" t="str">
        <f ca="1">IF(Growing[[#This Row],[Final Root Length (mm)]]="", "", IFERROR(VALUE(Growing[[#This Row],[Final Root Length (mm)]]), ""))</f>
        <v/>
      </c>
      <c r="H49" t="str">
        <f ca="1">IFERROR(VALUE(DATEVALUE(vLS_1[[#This Row],[Date Terminated]])-DATEVALUE(vLS_1[[#This Row],[Transplant Date]])), "")</f>
        <v/>
      </c>
      <c r="I49" t="str">
        <f ca="1">IFERROR(ROUND(vLS_1[[#This Row],[Final Root Length (mm)]]/vLS_1[[#This Row],[Days Between]], 2), "")</f>
        <v/>
      </c>
      <c r="J4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0" spans="1:10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IF(vLS_1[[#This Row],[Seeding Jar]]="", "", VALUE(_xlfn.XLOOKUP(SUBSTITUTE(vLS_1[[#This Row],[Seeding Jar]], "*", ""), Jars[Jar], Jars[Fertilizer Added (g)])))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Row],[Date Terminated]]="", "", TEXT(Growing[[#This Row],[Date Terminated]], "YYYY-MM-dd"))</f>
        <v/>
      </c>
      <c r="G50" t="str">
        <f ca="1">IF(Growing[[#This Row],[Final Root Length (mm)]]="", "", IFERROR(VALUE(Growing[[#This Row],[Final Root Length (mm)]]), ""))</f>
        <v/>
      </c>
      <c r="H50" t="str">
        <f ca="1">IFERROR(VALUE(DATEVALUE(vLS_1[[#This Row],[Date Terminated]])-DATEVALUE(vLS_1[[#This Row],[Transplant Date]])), "")</f>
        <v/>
      </c>
      <c r="I50" t="str">
        <f ca="1">IFERROR(ROUND(vLS_1[[#This Row],[Final Root Length (mm)]]/vLS_1[[#This Row],[Days Between]], 2), "")</f>
        <v/>
      </c>
      <c r="J5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1" spans="1:10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IF(vLS_1[[#This Row],[Seeding Jar]]="", "", VALUE(_xlfn.XLOOKUP(SUBSTITUTE(vLS_1[[#This Row],[Seeding Jar]], "*", ""), Jars[Jar], Jars[Fertilizer Added (g)])))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Row],[Date Terminated]]="", "", TEXT(Growing[[#This Row],[Date Terminated]], "YYYY-MM-dd"))</f>
        <v/>
      </c>
      <c r="G51" t="str">
        <f ca="1">IF(Growing[[#This Row],[Final Root Length (mm)]]="", "", IFERROR(VALUE(Growing[[#This Row],[Final Root Length (mm)]]), ""))</f>
        <v/>
      </c>
      <c r="H51" t="str">
        <f ca="1">IFERROR(VALUE(DATEVALUE(vLS_1[[#This Row],[Date Terminated]])-DATEVALUE(vLS_1[[#This Row],[Transplant Date]])), "")</f>
        <v/>
      </c>
      <c r="I51" t="str">
        <f ca="1">IFERROR(ROUND(vLS_1[[#This Row],[Final Root Length (mm)]]/vLS_1[[#This Row],[Days Between]], 2), "")</f>
        <v/>
      </c>
      <c r="J5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2" spans="1:10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IF(vLS_1[[#This Row],[Seeding Jar]]="", "", VALUE(_xlfn.XLOOKUP(SUBSTITUTE(vLS_1[[#This Row],[Seeding Jar]], "*", ""), Jars[Jar], Jars[Fertilizer Added (g)])))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Row],[Date Terminated]]="", "", TEXT(Growing[[#This Row],[Date Terminated]], "YYYY-MM-dd"))</f>
        <v/>
      </c>
      <c r="G52" t="str">
        <f ca="1">IF(Growing[[#This Row],[Final Root Length (mm)]]="", "", IFERROR(VALUE(Growing[[#This Row],[Final Root Length (mm)]]), ""))</f>
        <v/>
      </c>
      <c r="H52" t="str">
        <f ca="1">IFERROR(VALUE(DATEVALUE(vLS_1[[#This Row],[Date Terminated]])-DATEVALUE(vLS_1[[#This Row],[Transplant Date]])), "")</f>
        <v/>
      </c>
      <c r="I52" t="str">
        <f ca="1">IFERROR(ROUND(vLS_1[[#This Row],[Final Root Length (mm)]]/vLS_1[[#This Row],[Days Between]], 2), "")</f>
        <v/>
      </c>
      <c r="J5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3" spans="1:10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IF(vLS_1[[#This Row],[Seeding Jar]]="", "", VALUE(_xlfn.XLOOKUP(SUBSTITUTE(vLS_1[[#This Row],[Seeding Jar]], "*", ""), Jars[Jar], Jars[Fertilizer Added (g)])))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Row],[Date Terminated]]="", "", TEXT(Growing[[#This Row],[Date Terminated]], "YYYY-MM-dd"))</f>
        <v/>
      </c>
      <c r="G53" t="str">
        <f ca="1">IF(Growing[[#This Row],[Final Root Length (mm)]]="", "", IFERROR(VALUE(Growing[[#This Row],[Final Root Length (mm)]]), ""))</f>
        <v/>
      </c>
      <c r="H53" t="str">
        <f ca="1">IFERROR(VALUE(DATEVALUE(vLS_1[[#This Row],[Date Terminated]])-DATEVALUE(vLS_1[[#This Row],[Transplant Date]])), "")</f>
        <v/>
      </c>
      <c r="I53" t="str">
        <f ca="1">IFERROR(ROUND(vLS_1[[#This Row],[Final Root Length (mm)]]/vLS_1[[#This Row],[Days Between]], 2), "")</f>
        <v/>
      </c>
      <c r="J5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4" spans="1:10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IF(vLS_1[[#This Row],[Seeding Jar]]="", "", VALUE(_xlfn.XLOOKUP(SUBSTITUTE(vLS_1[[#This Row],[Seeding Jar]], "*", ""), Jars[Jar], Jars[Fertilizer Added (g)])))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Row],[Date Terminated]]="", "", TEXT(Growing[[#This Row],[Date Terminated]], "YYYY-MM-dd"))</f>
        <v/>
      </c>
      <c r="G54" t="str">
        <f ca="1">IF(Growing[[#This Row],[Final Root Length (mm)]]="", "", IFERROR(VALUE(Growing[[#This Row],[Final Root Length (mm)]]), ""))</f>
        <v/>
      </c>
      <c r="H54" t="str">
        <f ca="1">IFERROR(VALUE(DATEVALUE(vLS_1[[#This Row],[Date Terminated]])-DATEVALUE(vLS_1[[#This Row],[Transplant Date]])), "")</f>
        <v/>
      </c>
      <c r="I54" t="str">
        <f ca="1">IFERROR(ROUND(vLS_1[[#This Row],[Final Root Length (mm)]]/vLS_1[[#This Row],[Days Between]], 2), "")</f>
        <v/>
      </c>
      <c r="J5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5" spans="1:10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IF(vLS_1[[#This Row],[Seeding Jar]]="", "", VALUE(_xlfn.XLOOKUP(SUBSTITUTE(vLS_1[[#This Row],[Seeding Jar]], "*", ""), Jars[Jar], Jars[Fertilizer Added (g)])))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Row],[Date Terminated]]="", "", TEXT(Growing[[#This Row],[Date Terminated]], "YYYY-MM-dd"))</f>
        <v/>
      </c>
      <c r="G55" t="str">
        <f ca="1">IF(Growing[[#This Row],[Final Root Length (mm)]]="", "", IFERROR(VALUE(Growing[[#This Row],[Final Root Length (mm)]]), ""))</f>
        <v/>
      </c>
      <c r="H55" t="str">
        <f ca="1">IFERROR(VALUE(DATEVALUE(vLS_1[[#This Row],[Date Terminated]])-DATEVALUE(vLS_1[[#This Row],[Transplant Date]])), "")</f>
        <v/>
      </c>
      <c r="I55" t="str">
        <f ca="1">IFERROR(ROUND(vLS_1[[#This Row],[Final Root Length (mm)]]/vLS_1[[#This Row],[Days Between]], 2), "")</f>
        <v/>
      </c>
      <c r="J5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6" spans="1:10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IF(vLS_1[[#This Row],[Seeding Jar]]="", "", VALUE(_xlfn.XLOOKUP(SUBSTITUTE(vLS_1[[#This Row],[Seeding Jar]], "*", ""), Jars[Jar], Jars[Fertilizer Added (g)])))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Row],[Date Terminated]]="", "", TEXT(Growing[[#This Row],[Date Terminated]], "YYYY-MM-dd"))</f>
        <v/>
      </c>
      <c r="G56" t="str">
        <f ca="1">IF(Growing[[#This Row],[Final Root Length (mm)]]="", "", IFERROR(VALUE(Growing[[#This Row],[Final Root Length (mm)]]), ""))</f>
        <v/>
      </c>
      <c r="H56" t="str">
        <f ca="1">IFERROR(VALUE(DATEVALUE(vLS_1[[#This Row],[Date Terminated]])-DATEVALUE(vLS_1[[#This Row],[Transplant Date]])), "")</f>
        <v/>
      </c>
      <c r="I56" t="str">
        <f ca="1">IFERROR(ROUND(vLS_1[[#This Row],[Final Root Length (mm)]]/vLS_1[[#This Row],[Days Between]], 2), "")</f>
        <v/>
      </c>
      <c r="J5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7" spans="1:10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IF(vLS_1[[#This Row],[Seeding Jar]]="", "", VALUE(_xlfn.XLOOKUP(SUBSTITUTE(vLS_1[[#This Row],[Seeding Jar]], "*", ""), Jars[Jar], Jars[Fertilizer Added (g)])))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Row],[Date Terminated]]="", "", TEXT(Growing[[#This Row],[Date Terminated]], "YYYY-MM-dd"))</f>
        <v/>
      </c>
      <c r="G57" t="str">
        <f ca="1">IF(Growing[[#This Row],[Final Root Length (mm)]]="", "", IFERROR(VALUE(Growing[[#This Row],[Final Root Length (mm)]]), ""))</f>
        <v/>
      </c>
      <c r="H57" t="str">
        <f ca="1">IFERROR(VALUE(DATEVALUE(vLS_1[[#This Row],[Date Terminated]])-DATEVALUE(vLS_1[[#This Row],[Transplant Date]])), "")</f>
        <v/>
      </c>
      <c r="I57" t="str">
        <f ca="1">IFERROR(ROUND(vLS_1[[#This Row],[Final Root Length (mm)]]/vLS_1[[#This Row],[Days Between]], 2), "")</f>
        <v/>
      </c>
      <c r="J5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8" spans="1:10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IF(vLS_1[[#This Row],[Seeding Jar]]="", "", VALUE(_xlfn.XLOOKUP(SUBSTITUTE(vLS_1[[#This Row],[Seeding Jar]], "*", ""), Jars[Jar], Jars[Fertilizer Added (g)])))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Row],[Date Terminated]]="", "", TEXT(Growing[[#This Row],[Date Terminated]], "YYYY-MM-dd"))</f>
        <v/>
      </c>
      <c r="G58" t="str">
        <f ca="1">IF(Growing[[#This Row],[Final Root Length (mm)]]="", "", IFERROR(VALUE(Growing[[#This Row],[Final Root Length (mm)]]), ""))</f>
        <v/>
      </c>
      <c r="H58" t="str">
        <f ca="1">IFERROR(VALUE(DATEVALUE(vLS_1[[#This Row],[Date Terminated]])-DATEVALUE(vLS_1[[#This Row],[Transplant Date]])), "")</f>
        <v/>
      </c>
      <c r="I58" t="str">
        <f ca="1">IFERROR(ROUND(vLS_1[[#This Row],[Final Root Length (mm)]]/vLS_1[[#This Row],[Days Between]], 2), "")</f>
        <v/>
      </c>
      <c r="J5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9" spans="1:10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IF(vLS_1[[#This Row],[Seeding Jar]]="", "", VALUE(_xlfn.XLOOKUP(SUBSTITUTE(vLS_1[[#This Row],[Seeding Jar]], "*", ""), Jars[Jar], Jars[Fertilizer Added (g)])))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Row],[Date Terminated]]="", "", TEXT(Growing[[#This Row],[Date Terminated]], "YYYY-MM-dd"))</f>
        <v/>
      </c>
      <c r="G59" t="str">
        <f ca="1">IF(Growing[[#This Row],[Final Root Length (mm)]]="", "", IFERROR(VALUE(Growing[[#This Row],[Final Root Length (mm)]]), ""))</f>
        <v/>
      </c>
      <c r="H59" t="str">
        <f ca="1">IFERROR(VALUE(DATEVALUE(vLS_1[[#This Row],[Date Terminated]])-DATEVALUE(vLS_1[[#This Row],[Transplant Date]])), "")</f>
        <v/>
      </c>
      <c r="I59" t="str">
        <f ca="1">IFERROR(ROUND(vLS_1[[#This Row],[Final Root Length (mm)]]/vLS_1[[#This Row],[Days Between]], 2), "")</f>
        <v/>
      </c>
      <c r="J5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0" spans="1:10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IF(vLS_1[[#This Row],[Seeding Jar]]="", "", VALUE(_xlfn.XLOOKUP(SUBSTITUTE(vLS_1[[#This Row],[Seeding Jar]], "*", ""), Jars[Jar], Jars[Fertilizer Added (g)])))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Row],[Date Terminated]]="", "", TEXT(Growing[[#This Row],[Date Terminated]], "YYYY-MM-dd"))</f>
        <v/>
      </c>
      <c r="G60" t="str">
        <f ca="1">IF(Growing[[#This Row],[Final Root Length (mm)]]="", "", IFERROR(VALUE(Growing[[#This Row],[Final Root Length (mm)]]), ""))</f>
        <v/>
      </c>
      <c r="H60" t="str">
        <f ca="1">IFERROR(VALUE(DATEVALUE(vLS_1[[#This Row],[Date Terminated]])-DATEVALUE(vLS_1[[#This Row],[Transplant Date]])), "")</f>
        <v/>
      </c>
      <c r="I60" t="str">
        <f ca="1">IFERROR(ROUND(vLS_1[[#This Row],[Final Root Length (mm)]]/vLS_1[[#This Row],[Days Between]], 2), "")</f>
        <v/>
      </c>
      <c r="J6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1" spans="1:10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IF(vLS_1[[#This Row],[Seeding Jar]]="", "", VALUE(_xlfn.XLOOKUP(SUBSTITUTE(vLS_1[[#This Row],[Seeding Jar]], "*", ""), Jars[Jar], Jars[Fertilizer Added (g)])))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Row],[Date Terminated]]="", "", TEXT(Growing[[#This Row],[Date Terminated]], "YYYY-MM-dd"))</f>
        <v/>
      </c>
      <c r="G61" t="str">
        <f ca="1">IF(Growing[[#This Row],[Final Root Length (mm)]]="", "", IFERROR(VALUE(Growing[[#This Row],[Final Root Length (mm)]]), ""))</f>
        <v/>
      </c>
      <c r="H61" t="str">
        <f ca="1">IFERROR(VALUE(DATEVALUE(vLS_1[[#This Row],[Date Terminated]])-DATEVALUE(vLS_1[[#This Row],[Transplant Date]])), "")</f>
        <v/>
      </c>
      <c r="I61" t="str">
        <f ca="1">IFERROR(ROUND(vLS_1[[#This Row],[Final Root Length (mm)]]/vLS_1[[#This Row],[Days Between]], 2), "")</f>
        <v/>
      </c>
      <c r="J6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2" spans="1:10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IF(vLS_1[[#This Row],[Seeding Jar]]="", "", VALUE(_xlfn.XLOOKUP(SUBSTITUTE(vLS_1[[#This Row],[Seeding Jar]], "*", ""), Jars[Jar], Jars[Fertilizer Added (g)])))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Row],[Date Terminated]]="", "", TEXT(Growing[[#This Row],[Date Terminated]], "YYYY-MM-dd"))</f>
        <v/>
      </c>
      <c r="G62" t="str">
        <f ca="1">IF(Growing[[#This Row],[Final Root Length (mm)]]="", "", IFERROR(VALUE(Growing[[#This Row],[Final Root Length (mm)]]), ""))</f>
        <v/>
      </c>
      <c r="H62" t="str">
        <f ca="1">IFERROR(VALUE(DATEVALUE(vLS_1[[#This Row],[Date Terminated]])-DATEVALUE(vLS_1[[#This Row],[Transplant Date]])), "")</f>
        <v/>
      </c>
      <c r="I62" t="str">
        <f ca="1">IFERROR(ROUND(vLS_1[[#This Row],[Final Root Length (mm)]]/vLS_1[[#This Row],[Days Between]], 2), "")</f>
        <v/>
      </c>
      <c r="J6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3" spans="1:10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IF(vLS_1[[#This Row],[Seeding Jar]]="", "", VALUE(_xlfn.XLOOKUP(SUBSTITUTE(vLS_1[[#This Row],[Seeding Jar]], "*", ""), Jars[Jar], Jars[Fertilizer Added (g)])))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Row],[Date Terminated]]="", "", TEXT(Growing[[#This Row],[Date Terminated]], "YYYY-MM-dd"))</f>
        <v/>
      </c>
      <c r="G63" t="str">
        <f ca="1">IF(Growing[[#This Row],[Final Root Length (mm)]]="", "", IFERROR(VALUE(Growing[[#This Row],[Final Root Length (mm)]]), ""))</f>
        <v/>
      </c>
      <c r="H63" t="str">
        <f ca="1">IFERROR(VALUE(DATEVALUE(vLS_1[[#This Row],[Date Terminated]])-DATEVALUE(vLS_1[[#This Row],[Transplant Date]])), "")</f>
        <v/>
      </c>
      <c r="I63" t="str">
        <f ca="1">IFERROR(ROUND(vLS_1[[#This Row],[Final Root Length (mm)]]/vLS_1[[#This Row],[Days Between]], 2), "")</f>
        <v/>
      </c>
      <c r="J6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4" spans="1:10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IF(vLS_1[[#This Row],[Seeding Jar]]="", "", VALUE(_xlfn.XLOOKUP(SUBSTITUTE(vLS_1[[#This Row],[Seeding Jar]], "*", ""), Jars[Jar], Jars[Fertilizer Added (g)])))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Row],[Date Terminated]]="", "", TEXT(Growing[[#This Row],[Date Terminated]], "YYYY-MM-dd"))</f>
        <v/>
      </c>
      <c r="G64" t="str">
        <f ca="1">IF(Growing[[#This Row],[Final Root Length (mm)]]="", "", IFERROR(VALUE(Growing[[#This Row],[Final Root Length (mm)]]), ""))</f>
        <v/>
      </c>
      <c r="H64" t="str">
        <f ca="1">IFERROR(VALUE(DATEVALUE(vLS_1[[#This Row],[Date Terminated]])-DATEVALUE(vLS_1[[#This Row],[Transplant Date]])), "")</f>
        <v/>
      </c>
      <c r="I64" t="str">
        <f ca="1">IFERROR(ROUND(vLS_1[[#This Row],[Final Root Length (mm)]]/vLS_1[[#This Row],[Days Between]], 2), "")</f>
        <v/>
      </c>
      <c r="J6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5" spans="1:10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IF(vLS_1[[#This Row],[Seeding Jar]]="", "", VALUE(_xlfn.XLOOKUP(SUBSTITUTE(vLS_1[[#This Row],[Seeding Jar]], "*", ""), Jars[Jar], Jars[Fertilizer Added (g)])))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Row],[Date Terminated]]="", "", TEXT(Growing[[#This Row],[Date Terminated]], "YYYY-MM-dd"))</f>
        <v/>
      </c>
      <c r="G65" t="str">
        <f ca="1">IF(Growing[[#This Row],[Final Root Length (mm)]]="", "", IFERROR(VALUE(Growing[[#This Row],[Final Root Length (mm)]]), ""))</f>
        <v/>
      </c>
      <c r="H65" t="str">
        <f ca="1">IFERROR(VALUE(DATEVALUE(vLS_1[[#This Row],[Date Terminated]])-DATEVALUE(vLS_1[[#This Row],[Transplant Date]])), "")</f>
        <v/>
      </c>
      <c r="I65" t="str">
        <f ca="1">IFERROR(ROUND(vLS_1[[#This Row],[Final Root Length (mm)]]/vLS_1[[#This Row],[Days Between]], 2), "")</f>
        <v/>
      </c>
      <c r="J6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6" spans="1:10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IF(vLS_1[[#This Row],[Seeding Jar]]="", "", VALUE(_xlfn.XLOOKUP(SUBSTITUTE(vLS_1[[#This Row],[Seeding Jar]], "*", ""), Jars[Jar], Jars[Fertilizer Added (g)])))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Row],[Date Terminated]]="", "", TEXT(Growing[[#This Row],[Date Terminated]], "YYYY-MM-dd"))</f>
        <v/>
      </c>
      <c r="G66" t="str">
        <f ca="1">IF(Growing[[#This Row],[Final Root Length (mm)]]="", "", IFERROR(VALUE(Growing[[#This Row],[Final Root Length (mm)]]), ""))</f>
        <v/>
      </c>
      <c r="H66" t="str">
        <f ca="1">IFERROR(VALUE(DATEVALUE(vLS_1[[#This Row],[Date Terminated]])-DATEVALUE(vLS_1[[#This Row],[Transplant Date]])), "")</f>
        <v/>
      </c>
      <c r="I66" t="str">
        <f ca="1">IFERROR(ROUND(vLS_1[[#This Row],[Final Root Length (mm)]]/vLS_1[[#This Row],[Days Between]], 2), "")</f>
        <v/>
      </c>
      <c r="J66">
        <f ca="1">IF(AND(ISNUMBER(vLS_1[[#This Row],[Final Root Length (mm)]]),ISNUMBER(vLS_1[[#This Row],[Days Between]]),vLS_1[[#This Row],[Days Between]]&gt;0,ISNUMBER(vLS_1[[#This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D3CC-68C2-469F-A174-9B5F5EC39C26}">
  <dimension ref="A1"/>
  <sheetViews>
    <sheetView workbookViewId="0">
      <selection activeCell="P15" sqref="P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2026-04-21T01:47:25Z</dcterms:created>
  <dcterms:modified xsi:type="dcterms:W3CDTF">2026-10-04T02:43:08Z</dcterms:modified>
  <cp:category/>
  <cp:contentStatus/>
</cp:coreProperties>
</file>