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mailmissouri-my.sharepoint.com/personal/jcc6qh_umsystem_edu/Documents/Documents/Extension Publications/2025/Hydroponic nutrient solutions/"/>
    </mc:Choice>
  </mc:AlternateContent>
  <xr:revisionPtr revIDLastSave="0" documentId="8_{271ECD9A-D4CB-45AE-803F-94F071DC8D12}" xr6:coauthVersionLast="47" xr6:coauthVersionMax="47" xr10:uidLastSave="{00000000-0000-0000-0000-000000000000}"/>
  <bookViews>
    <workbookView xWindow="13140" yWindow="7530" windowWidth="25290" windowHeight="11790" xr2:uid="{00000000-000D-0000-FFFF-FFFF00000000}"/>
  </bookViews>
  <sheets>
    <sheet name="Introduction" sheetId="11" r:id="rId1"/>
    <sheet name="Instructions" sheetId="10" r:id="rId2"/>
    <sheet name="Nutrient solution calculator" sheetId="8" r:id="rId3"/>
  </sheets>
  <externalReferences>
    <externalReference r:id="rId4"/>
  </externalReferences>
  <definedNames>
    <definedName name="BudgetActivities">#REF!</definedName>
    <definedName name="CustomActivities">#REF!</definedName>
    <definedName name="CustomImps">#REF!</definedName>
    <definedName name="Implements">#REF!</definedName>
    <definedName name="ss">#REF!</definedName>
    <definedName name="ww">#REF!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3" i="8" l="1"/>
  <c r="E54" i="8"/>
  <c r="E55" i="8"/>
  <c r="B53" i="8"/>
  <c r="B54" i="8"/>
  <c r="B55" i="8"/>
  <c r="D47" i="8"/>
  <c r="E47" i="8" s="1"/>
  <c r="F47" i="8" s="1"/>
  <c r="G47" i="8" s="1"/>
  <c r="D46" i="8"/>
  <c r="E46" i="8" s="1"/>
  <c r="F46" i="8" s="1"/>
  <c r="G46" i="8" s="1"/>
  <c r="C47" i="8"/>
  <c r="C46" i="8"/>
  <c r="D39" i="8"/>
  <c r="D38" i="8"/>
  <c r="D37" i="8"/>
  <c r="D36" i="8"/>
  <c r="D35" i="8"/>
  <c r="B35" i="8"/>
  <c r="C35" i="8"/>
  <c r="B36" i="8"/>
  <c r="C36" i="8"/>
  <c r="B37" i="8"/>
  <c r="C37" i="8"/>
  <c r="B38" i="8"/>
  <c r="C38" i="8"/>
  <c r="B39" i="8"/>
  <c r="C39" i="8"/>
  <c r="D44" i="8"/>
  <c r="E44" i="8" s="1"/>
  <c r="F44" i="8" s="1"/>
  <c r="G44" i="8" s="1"/>
  <c r="D45" i="8"/>
  <c r="E45" i="8" s="1"/>
  <c r="F45" i="8" s="1"/>
  <c r="G45" i="8" s="1"/>
  <c r="D43" i="8"/>
  <c r="E43" i="8" s="1"/>
  <c r="F43" i="8" s="1"/>
  <c r="G43" i="8" s="1"/>
  <c r="C44" i="8"/>
  <c r="C45" i="8"/>
  <c r="C43" i="8"/>
  <c r="Q25" i="8" l="1"/>
  <c r="P25" i="8"/>
  <c r="O25" i="8"/>
  <c r="N25" i="8"/>
  <c r="M25" i="8"/>
  <c r="L25" i="8"/>
  <c r="K25" i="8"/>
  <c r="J25" i="8"/>
  <c r="I25" i="8"/>
  <c r="H25" i="8"/>
  <c r="G25" i="8"/>
  <c r="F25" i="8"/>
  <c r="E25" i="8"/>
  <c r="D25" i="8"/>
  <c r="C25" i="8"/>
  <c r="B25" i="8"/>
  <c r="E16" i="8"/>
  <c r="E51" i="8" l="1"/>
  <c r="G29" i="8"/>
  <c r="C23" i="8" l="1"/>
  <c r="BD28" i="8"/>
  <c r="BD26" i="8"/>
  <c r="BD25" i="8"/>
  <c r="C29" i="8"/>
  <c r="H29" i="8"/>
  <c r="I29" i="8"/>
  <c r="J29" i="8"/>
  <c r="K29" i="8"/>
  <c r="L29" i="8"/>
  <c r="M29" i="8"/>
  <c r="N29" i="8"/>
  <c r="O29" i="8"/>
  <c r="P29" i="8"/>
  <c r="Q29" i="8"/>
  <c r="C27" i="8" l="1"/>
  <c r="E52" i="8"/>
  <c r="E14" i="8"/>
  <c r="E56" i="8" l="1"/>
  <c r="B52" i="8"/>
  <c r="B51" i="8"/>
  <c r="D10" i="8"/>
  <c r="Q24" i="8"/>
  <c r="Q26" i="8"/>
  <c r="Q27" i="8"/>
  <c r="P24" i="8"/>
  <c r="P26" i="8"/>
  <c r="P27" i="8"/>
  <c r="O24" i="8"/>
  <c r="O26" i="8"/>
  <c r="O27" i="8"/>
  <c r="N24" i="8"/>
  <c r="N26" i="8"/>
  <c r="N27" i="8"/>
  <c r="M24" i="8"/>
  <c r="M26" i="8"/>
  <c r="M27" i="8"/>
  <c r="L24" i="8"/>
  <c r="L26" i="8"/>
  <c r="L27" i="8"/>
  <c r="K24" i="8"/>
  <c r="K26" i="8"/>
  <c r="K27" i="8"/>
  <c r="J24" i="8"/>
  <c r="J26" i="8"/>
  <c r="J27" i="8"/>
  <c r="I24" i="8"/>
  <c r="I26" i="8"/>
  <c r="I27" i="8"/>
  <c r="H24" i="8"/>
  <c r="H26" i="8"/>
  <c r="H27" i="8"/>
  <c r="G24" i="8"/>
  <c r="G26" i="8"/>
  <c r="G27" i="8"/>
  <c r="F24" i="8"/>
  <c r="F26" i="8"/>
  <c r="F27" i="8"/>
  <c r="E24" i="8"/>
  <c r="E26" i="8"/>
  <c r="E27" i="8"/>
  <c r="D24" i="8"/>
  <c r="D26" i="8"/>
  <c r="D27" i="8"/>
  <c r="Q23" i="8"/>
  <c r="P23" i="8"/>
  <c r="O23" i="8"/>
  <c r="N23" i="8"/>
  <c r="M23" i="8"/>
  <c r="L23" i="8"/>
  <c r="K23" i="8"/>
  <c r="J23" i="8"/>
  <c r="I23" i="8"/>
  <c r="H23" i="8"/>
  <c r="G23" i="8"/>
  <c r="F23" i="8"/>
  <c r="E23" i="8"/>
  <c r="D23" i="8"/>
  <c r="C26" i="8"/>
  <c r="C24" i="8"/>
  <c r="C28" i="8" l="1"/>
  <c r="C30" i="8" s="1"/>
  <c r="L28" i="8"/>
  <c r="L30" i="8" s="1"/>
  <c r="J28" i="8"/>
  <c r="J30" i="8" s="1"/>
  <c r="O28" i="8"/>
  <c r="O30" i="8" s="1"/>
  <c r="I28" i="8"/>
  <c r="I30" i="8" s="1"/>
  <c r="Q28" i="8"/>
  <c r="Q30" i="8" s="1"/>
  <c r="K28" i="8"/>
  <c r="K30" i="8" s="1"/>
  <c r="P28" i="8"/>
  <c r="P30" i="8" s="1"/>
  <c r="E28" i="8"/>
  <c r="M28" i="8"/>
  <c r="M30" i="8" s="1"/>
  <c r="N28" i="8"/>
  <c r="N30" i="8" s="1"/>
  <c r="H28" i="8"/>
  <c r="H30" i="8" s="1"/>
  <c r="F28" i="8"/>
  <c r="G28" i="8"/>
  <c r="G30" i="8" s="1"/>
  <c r="D28" i="8"/>
  <c r="BN16" i="8"/>
  <c r="BN18" i="8" s="1"/>
  <c r="BO16" i="8"/>
  <c r="BP16" i="8"/>
  <c r="BP18" i="8" s="1"/>
  <c r="BQ16" i="8"/>
  <c r="BQ19" i="8" s="1"/>
  <c r="BR16" i="8"/>
  <c r="BR19" i="8" s="1"/>
  <c r="BS16" i="8"/>
  <c r="BS19" i="8" s="1"/>
  <c r="BO19" i="8" l="1"/>
  <c r="R29" i="8"/>
  <c r="R28" i="8"/>
  <c r="BP19" i="8"/>
  <c r="BS18" i="8"/>
  <c r="BN19" i="8"/>
  <c r="BQ18" i="8"/>
  <c r="W19" i="8" s="1"/>
  <c r="BR18" i="8"/>
  <c r="BO18" i="8"/>
  <c r="E15" i="8"/>
  <c r="E17" i="8"/>
  <c r="E18" i="8"/>
  <c r="D14" i="8"/>
  <c r="D16" i="8" s="1"/>
  <c r="D9" i="8"/>
  <c r="X19" i="8" l="1"/>
  <c r="D15" i="8"/>
  <c r="B24" i="8"/>
  <c r="D17" i="8" l="1"/>
  <c r="B26" i="8"/>
  <c r="D18" i="8" l="1"/>
  <c r="B27" i="8"/>
</calcChain>
</file>

<file path=xl/sharedStrings.xml><?xml version="1.0" encoding="utf-8"?>
<sst xmlns="http://schemas.openxmlformats.org/spreadsheetml/2006/main" count="428" uniqueCount="236">
  <si>
    <t>Concentration</t>
  </si>
  <si>
    <t>Unit</t>
  </si>
  <si>
    <t>Amount</t>
  </si>
  <si>
    <t>CONVERSIONS</t>
  </si>
  <si>
    <t>Volume</t>
  </si>
  <si>
    <t>K</t>
  </si>
  <si>
    <t>Mass</t>
  </si>
  <si>
    <t>-</t>
  </si>
  <si>
    <t>Oz-L</t>
  </si>
  <si>
    <t>Oz-g</t>
  </si>
  <si>
    <t>Pound-g</t>
  </si>
  <si>
    <t>*454</t>
  </si>
  <si>
    <t>Metric</t>
  </si>
  <si>
    <t>P</t>
  </si>
  <si>
    <t>Fertilizer element</t>
  </si>
  <si>
    <t>*28.35</t>
  </si>
  <si>
    <t>P2O5-P</t>
  </si>
  <si>
    <t>*0.44</t>
  </si>
  <si>
    <t>K2O-K</t>
  </si>
  <si>
    <t>*0.83</t>
  </si>
  <si>
    <t>P-P2O5</t>
  </si>
  <si>
    <t>*2.3</t>
  </si>
  <si>
    <t>K-K2O</t>
  </si>
  <si>
    <t>*1.2</t>
  </si>
  <si>
    <t>4-18-38</t>
  </si>
  <si>
    <t>15.5-0-0</t>
  </si>
  <si>
    <t>Total N</t>
  </si>
  <si>
    <t>Nitrate-N</t>
  </si>
  <si>
    <t>Ammonium-N</t>
  </si>
  <si>
    <t>Ca</t>
  </si>
  <si>
    <t>Mg</t>
  </si>
  <si>
    <t>S</t>
  </si>
  <si>
    <t>Fertilizer</t>
  </si>
  <si>
    <t>%N</t>
  </si>
  <si>
    <t>%Urea</t>
  </si>
  <si>
    <t>%NH4-N</t>
  </si>
  <si>
    <t>%NO3-N</t>
  </si>
  <si>
    <t>%P2O5</t>
  </si>
  <si>
    <t>%K2O</t>
  </si>
  <si>
    <t>%Ca</t>
  </si>
  <si>
    <t>%Mg</t>
  </si>
  <si>
    <t>%S</t>
  </si>
  <si>
    <t>%B</t>
  </si>
  <si>
    <t>%Cu</t>
  </si>
  <si>
    <t>%Fe</t>
  </si>
  <si>
    <t>%Mn</t>
  </si>
  <si>
    <t>%Mo</t>
  </si>
  <si>
    <t>%Zn</t>
  </si>
  <si>
    <t>%-ppm</t>
  </si>
  <si>
    <t>*10000</t>
  </si>
  <si>
    <t>ppm-%</t>
  </si>
  <si>
    <t>*0.0001</t>
  </si>
  <si>
    <t>Urea</t>
  </si>
  <si>
    <t>B</t>
  </si>
  <si>
    <t>Cu</t>
  </si>
  <si>
    <t>Fe</t>
  </si>
  <si>
    <t>Mn</t>
  </si>
  <si>
    <t>Mo</t>
  </si>
  <si>
    <t>Zn</t>
  </si>
  <si>
    <t>5-11-26</t>
  </si>
  <si>
    <t>1:1</t>
  </si>
  <si>
    <t>1.5:1</t>
  </si>
  <si>
    <t>1.7:1</t>
  </si>
  <si>
    <t>1.8:1</t>
  </si>
  <si>
    <t>2:1</t>
  </si>
  <si>
    <t>2.1:1</t>
  </si>
  <si>
    <t>Lettuce</t>
  </si>
  <si>
    <t>NA</t>
  </si>
  <si>
    <t>pH</t>
  </si>
  <si>
    <t>Cl</t>
  </si>
  <si>
    <t>10-100</t>
  </si>
  <si>
    <t xml:space="preserve">K:N ratio </t>
  </si>
  <si>
    <t>20-10-20</t>
  </si>
  <si>
    <t>6-11-31</t>
  </si>
  <si>
    <t>Epsom salt</t>
  </si>
  <si>
    <t>Cost</t>
  </si>
  <si>
    <t>Units</t>
  </si>
  <si>
    <t>Crop</t>
  </si>
  <si>
    <t>Crop List</t>
  </si>
  <si>
    <t>Standard</t>
  </si>
  <si>
    <t>Unit classification</t>
  </si>
  <si>
    <t>Current nutrient concentration (ppm)</t>
  </si>
  <si>
    <t>Type of fertilizer</t>
  </si>
  <si>
    <t>Tomato - Stage 1</t>
  </si>
  <si>
    <t>Tomato - Stage 2</t>
  </si>
  <si>
    <t>Tomato - Stage 3</t>
  </si>
  <si>
    <t>Cucumber - Stage 1</t>
  </si>
  <si>
    <t>Cucumber - Stage 2</t>
  </si>
  <si>
    <t>Cucumber - Stage 3</t>
  </si>
  <si>
    <t>K/N</t>
  </si>
  <si>
    <t>K:N ratio (high range)</t>
  </si>
  <si>
    <t>K:N ratio (low range)</t>
  </si>
  <si>
    <t>K:N ratio (optimal)</t>
  </si>
  <si>
    <t>pH high range</t>
  </si>
  <si>
    <t>ph low range</t>
  </si>
  <si>
    <t>pH level in volume</t>
  </si>
  <si>
    <t>kilogram</t>
  </si>
  <si>
    <t>per liter</t>
  </si>
  <si>
    <t>5-12-26</t>
  </si>
  <si>
    <t>Basil</t>
  </si>
  <si>
    <t>14-0-14</t>
  </si>
  <si>
    <t>EC high range</t>
  </si>
  <si>
    <t>EC low range</t>
  </si>
  <si>
    <t>12-0-43</t>
  </si>
  <si>
    <t>9-12-34</t>
  </si>
  <si>
    <t>Strawberry Option A</t>
  </si>
  <si>
    <t>Strawberry Option B</t>
  </si>
  <si>
    <t>8-10-26</t>
  </si>
  <si>
    <t>Ounces in 10 gallons</t>
  </si>
  <si>
    <t>14-0-0</t>
  </si>
  <si>
    <t>Organic soy aminoacids from protein hydrolysate</t>
  </si>
  <si>
    <t>Organic Langbeinite</t>
  </si>
  <si>
    <t>0-0-21.5</t>
  </si>
  <si>
    <t>Organic liquid bone meal</t>
  </si>
  <si>
    <t>Organic Calcium Chloride</t>
  </si>
  <si>
    <t>Liquid Calcium  5%</t>
  </si>
  <si>
    <t>0-12-0 liquid</t>
  </si>
  <si>
    <t>Density  kg/L</t>
  </si>
  <si>
    <t>Big Bloom</t>
  </si>
  <si>
    <t>Grow Big</t>
  </si>
  <si>
    <t>Buds and Bloom</t>
  </si>
  <si>
    <t>Alkalinity (as CaCO3)</t>
  </si>
  <si>
    <t>Spinach</t>
  </si>
  <si>
    <t>Gallons to Liters</t>
  </si>
  <si>
    <t>Multiply by 3.78541</t>
  </si>
  <si>
    <t>Liters to Gallons</t>
  </si>
  <si>
    <t>Divide by 3.78541</t>
  </si>
  <si>
    <t>Multiply by 0.02957</t>
  </si>
  <si>
    <t>Pound-Kg</t>
  </si>
  <si>
    <t>21-7-7</t>
  </si>
  <si>
    <t>30-10-10</t>
  </si>
  <si>
    <t>21-0-0</t>
  </si>
  <si>
    <t>Ammonium sulfate</t>
  </si>
  <si>
    <t>Ammonium nitrate</t>
  </si>
  <si>
    <t>34-0-0</t>
  </si>
  <si>
    <t>13-0-45</t>
  </si>
  <si>
    <t>17-5-17 Cal-Mag</t>
  </si>
  <si>
    <t>13-2-13 Cal-Mag</t>
  </si>
  <si>
    <t>Other names</t>
  </si>
  <si>
    <t>21-6-20</t>
  </si>
  <si>
    <t>High Mag Formula</t>
  </si>
  <si>
    <t>20-7-20</t>
  </si>
  <si>
    <t>7-14-36</t>
  </si>
  <si>
    <t>Tank</t>
  </si>
  <si>
    <t>A</t>
  </si>
  <si>
    <t>C</t>
  </si>
  <si>
    <t>1:100 ratio (g per L of stock)</t>
  </si>
  <si>
    <t>1:100 (g per 10L of stock)</t>
  </si>
  <si>
    <t>1:100 (ounces per 10 gallons of stock)</t>
  </si>
  <si>
    <t>1:100 pounds per gallon of stock</t>
  </si>
  <si>
    <t>EDDHA Chelated Iron</t>
  </si>
  <si>
    <t>16-4-17</t>
  </si>
  <si>
    <t>EC (dS/m)</t>
  </si>
  <si>
    <t>Nutrient volume (Liter)</t>
  </si>
  <si>
    <r>
      <t xml:space="preserve">STEP 2: </t>
    </r>
    <r>
      <rPr>
        <sz val="11"/>
        <color theme="1"/>
        <rFont val="Calibri"/>
        <family val="2"/>
        <scheme val="minor"/>
      </rPr>
      <t>Select the hydroponic crop and enter the measured pH in your nutrient solution (if available)</t>
    </r>
  </si>
  <si>
    <r>
      <rPr>
        <b/>
        <sz val="11"/>
        <color theme="1"/>
        <rFont val="Calibri"/>
        <family val="2"/>
        <scheme val="minor"/>
      </rPr>
      <t xml:space="preserve">STEP 3: </t>
    </r>
    <r>
      <rPr>
        <sz val="11"/>
        <color theme="1"/>
        <rFont val="Calibri"/>
        <family val="2"/>
        <scheme val="minor"/>
      </rPr>
      <t>Select the fertilizers and input the amount dissolved in 10 L of nutrient solution</t>
    </r>
  </si>
  <si>
    <r>
      <t xml:space="preserve">STEP 4: </t>
    </r>
    <r>
      <rPr>
        <sz val="11"/>
        <color theme="1"/>
        <rFont val="Calibri"/>
        <family val="2"/>
        <scheme val="minor"/>
      </rPr>
      <t>Verify that the inputs from step 3 meet the crop nutritional requirement</t>
    </r>
  </si>
  <si>
    <t>←% under or above requirement</t>
  </si>
  <si>
    <t>Crop requirement→</t>
  </si>
  <si>
    <t>Provided by STEP 3→</t>
  </si>
  <si>
    <t>Grams in 10 liters</t>
  </si>
  <si>
    <r>
      <t xml:space="preserve">Result 1: </t>
    </r>
    <r>
      <rPr>
        <sz val="11"/>
        <color theme="1"/>
        <rFont val="Calibri"/>
        <family val="2"/>
        <scheme val="minor"/>
      </rPr>
      <t>Hand mixed fertilizer recipe</t>
    </r>
  </si>
  <si>
    <t>Cost per kg</t>
  </si>
  <si>
    <t>←Fertilizer cost for every 10 Liters of nutrient solution prepared</t>
  </si>
  <si>
    <r>
      <rPr>
        <b/>
        <sz val="11"/>
        <color theme="1"/>
        <rFont val="Calibri"/>
        <family val="2"/>
        <scheme val="minor"/>
      </rPr>
      <t xml:space="preserve">Result 3: </t>
    </r>
    <r>
      <rPr>
        <sz val="11"/>
        <color theme="1"/>
        <rFont val="Calibri"/>
        <family val="2"/>
        <scheme val="minor"/>
      </rPr>
      <t>Cost of fertilizer per 10 liters of nutrient solution</t>
    </r>
  </si>
  <si>
    <r>
      <rPr>
        <b/>
        <sz val="11"/>
        <color theme="1"/>
        <rFont val="Calibri"/>
        <family val="2"/>
        <scheme val="minor"/>
      </rPr>
      <t xml:space="preserve">Result 2: </t>
    </r>
    <r>
      <rPr>
        <sz val="11"/>
        <color theme="1"/>
        <rFont val="Calibri"/>
        <family val="2"/>
        <scheme val="minor"/>
      </rPr>
      <t>Recipes to make stock solutions when using injectors set at 1:100</t>
    </r>
  </si>
  <si>
    <t>D</t>
  </si>
  <si>
    <t>E</t>
  </si>
  <si>
    <t>Enter new crop</t>
  </si>
  <si>
    <t>Enter new fertilizer 1</t>
  </si>
  <si>
    <t>Enter new fertilizer 2</t>
  </si>
  <si>
    <t>Blank</t>
  </si>
  <si>
    <t>P2O5-P ppm</t>
  </si>
  <si>
    <t>K2O-K ppm</t>
  </si>
  <si>
    <t>P-P2O5 ppm</t>
  </si>
  <si>
    <t>K-K2O ppm</t>
  </si>
  <si>
    <t>Multiply by 454</t>
  </si>
  <si>
    <t>Divide by 2.2</t>
  </si>
  <si>
    <t>Multiply by 28.35</t>
  </si>
  <si>
    <t>Multiply by 0.44</t>
  </si>
  <si>
    <t>Multiply by 0.83</t>
  </si>
  <si>
    <t>Multiply by 2.3</t>
  </si>
  <si>
    <t>Multiply by 1.2</t>
  </si>
  <si>
    <t>Multiply by 10000</t>
  </si>
  <si>
    <t>Multiply by 0.0001</t>
  </si>
  <si>
    <t>←Total fertilizer cost per 10 L of nutrient solution</t>
  </si>
  <si>
    <r>
      <t>SO4</t>
    </r>
    <r>
      <rPr>
        <i/>
        <vertAlign val="superscript"/>
        <sz val="10"/>
        <color theme="1"/>
        <rFont val="Calibri"/>
        <family val="2"/>
        <scheme val="minor"/>
      </rPr>
      <t>2-</t>
    </r>
  </si>
  <si>
    <t>Bell Pepper</t>
  </si>
  <si>
    <t xml:space="preserve"> </t>
  </si>
  <si>
    <t>Hydroponic Nutrient Solution Calculator Instructions</t>
  </si>
  <si>
    <r>
      <t>Juan Cabrera-Garcia</t>
    </r>
    <r>
      <rPr>
        <sz val="12"/>
        <color theme="1"/>
        <rFont val="Aptos"/>
        <family val="2"/>
      </rPr>
      <t>, State Extension Specialist &amp; Assistant Professor</t>
    </r>
  </si>
  <si>
    <t>Please input your values in the cells with a yellow background. Do not change anything in the other cells. Results are given in the cells with a blue background. Grey cells are informational only.</t>
  </si>
  <si>
    <r>
      <t>Step 1</t>
    </r>
    <r>
      <rPr>
        <sz val="12"/>
        <color theme="1"/>
        <rFont val="Aptos"/>
        <family val="2"/>
      </rPr>
      <t xml:space="preserve"> Insert the results of your water test report in the yellow cells:</t>
    </r>
  </si>
  <si>
    <r>
      <rPr>
        <b/>
        <sz val="12"/>
        <color theme="1"/>
        <rFont val="Aptos"/>
        <family val="2"/>
      </rPr>
      <t>Assumption</t>
    </r>
    <r>
      <rPr>
        <sz val="12"/>
        <color theme="1"/>
        <rFont val="Aptos"/>
        <family val="2"/>
      </rPr>
      <t>: This calculator assumes you will be preparing 10 l of nutrient solution to help you create a recipe or evaluate an existing recipe. You will later see that it automatically calculates results in ounces per 10 gallons or how to prepare stock solutions when using injectors set at 1:100 (in g/L, g/10L, ounces/gallons, ounces/10 gallons).</t>
    </r>
  </si>
  <si>
    <r>
      <t xml:space="preserve">Step 2 </t>
    </r>
    <r>
      <rPr>
        <sz val="12"/>
        <color theme="1"/>
        <rFont val="Aptos"/>
        <family val="2"/>
      </rPr>
      <t>Select the crop: click on the yellow cell next to the gray cell that says “Crop” and you will notice a drop-down button will appear next the tan cell. Click on the button and select a crop from the list of crops.</t>
    </r>
  </si>
  <si>
    <t>*There is a limited list of crops, but there is an option to enter additional crops. See the “Entering additional crops and fertilizers” section below for details.</t>
  </si>
  <si>
    <t>Enter the pH of the nutrient solution (if you are diagnosing or want to know optimum nutrient solution pH). A text will show up next to the cell indicating if the pH is optimal or if it is outside of recommended range.</t>
  </si>
  <si>
    <r>
      <t xml:space="preserve">Step 3 </t>
    </r>
    <r>
      <rPr>
        <sz val="12"/>
        <color theme="1"/>
        <rFont val="Aptos"/>
        <family val="2"/>
      </rPr>
      <t>Click on the cells under the “Type of fertilizer” column to select the fertilizers you have in stock or those you are considering for your plant nutrition program. This spreadsheet allows you to input up to five different fertilizers.</t>
    </r>
  </si>
  <si>
    <t>*There is a limited list of fertilizers, but there is an option to enter additional fertilizers. See the “Entering additional crops and fertilizers” section below for details.</t>
  </si>
  <si>
    <r>
      <t xml:space="preserve">Step 4 </t>
    </r>
    <r>
      <rPr>
        <sz val="12"/>
        <color theme="1"/>
        <rFont val="Aptos"/>
        <family val="2"/>
      </rPr>
      <t>This step requires inputting amounts for each fertilizer while observing how the values in the table below change. For this example, let’s assume that we are making a nutrient solution for lettuce and we have 5-12-26, 15.5-0-0, and Epsom salts in stock.</t>
    </r>
  </si>
  <si>
    <r>
      <t>4.1</t>
    </r>
    <r>
      <rPr>
        <sz val="12"/>
        <color theme="1"/>
        <rFont val="Aptos"/>
        <family val="2"/>
      </rPr>
      <t xml:space="preserve"> Start by matching the calcium requirement using the 15.5-0-0 (calcium nitrate) since it is our calcium source. Simply input a random number in the cell next to the 15.5-0-0 and observe how the values in the table below change.</t>
    </r>
  </si>
  <si>
    <t xml:space="preserve">In this example I typed 3 grams of 15.5-0-0. Play special attention to the bottom three rows of that table. </t>
  </si>
  <si>
    <r>
      <t>·</t>
    </r>
    <r>
      <rPr>
        <sz val="7"/>
        <color theme="1"/>
        <rFont val="Times New Roman"/>
        <family val="1"/>
      </rPr>
      <t xml:space="preserve">       </t>
    </r>
    <r>
      <rPr>
        <sz val="12"/>
        <color theme="1"/>
        <rFont val="Aptos"/>
        <family val="2"/>
      </rPr>
      <t>Middle row: Shows the crop requirement or each of the elements listed above.</t>
    </r>
  </si>
  <si>
    <r>
      <t>·</t>
    </r>
    <r>
      <rPr>
        <sz val="7"/>
        <color theme="1"/>
        <rFont val="Times New Roman"/>
        <family val="1"/>
      </rPr>
      <t xml:space="preserve">       </t>
    </r>
    <r>
      <rPr>
        <sz val="12"/>
        <color theme="1"/>
        <rFont val="Aptos"/>
        <family val="2"/>
      </rPr>
      <t>Bottom row: Shows the percentage above or below the crop requirement.</t>
    </r>
  </si>
  <si>
    <r>
      <t>·</t>
    </r>
    <r>
      <rPr>
        <sz val="7"/>
        <color theme="1"/>
        <rFont val="Times New Roman"/>
        <family val="1"/>
      </rPr>
      <t xml:space="preserve">       </t>
    </r>
    <r>
      <rPr>
        <sz val="12"/>
        <color theme="1"/>
        <rFont val="Aptos"/>
        <family val="2"/>
      </rPr>
      <t>Top row: Shows how much of each element is provided by the amounts entered in Step 3. The cells will have a pink background with red font if the values are under the crop requirement; they will turn white background with black font when the values meet or are above the crop requirement.</t>
    </r>
  </si>
  <si>
    <r>
      <t>4.2</t>
    </r>
    <r>
      <rPr>
        <sz val="12"/>
        <color theme="1"/>
        <rFont val="Aptos"/>
        <family val="2"/>
      </rPr>
      <t xml:space="preserve"> Try different values until you match the nutritional requirements. It is recommended that you match the calcium requirement first, then nitrogen, then potassium and finally the rest of the nutrients. Due to the wide range of water quality profiles and fertilizer formulations, it may not be possible to exactly match the crop requirements with commercially available formulations. Therefore, don’t be alarmed if some nutrients are 5-10% over or below the recommended values. Consider alternative fertilizer sources, treating your water, or switching water sources if the values fall over 10% outside the recommended range. It will be more challenging to create a nutritional program with water that has high alkalinity (water hardness).</t>
    </r>
  </si>
  <si>
    <t>For this example, the water test report indicated that the water already had some nutrients in it. The calcium and nitrogen requirements are met, but other elements are significantly above the requirements. In this case, you should consider other fertilizer formulations with higher nitrogen content, lower amounts of macro nutrients, and a separate formulation for the micronutrients. Alternatively, you could switch to another water source or pass the water through a reverse osmosis system if available.</t>
  </si>
  <si>
    <r>
      <t>4.3</t>
    </r>
    <r>
      <rPr>
        <sz val="12"/>
        <color theme="1"/>
        <rFont val="Aptos"/>
        <family val="2"/>
      </rPr>
      <t xml:space="preserve"> Notice at the far right of the table in step 4 there is a column for K/N ratio. For tomatoes and cucumbers, the ratio of potassium to nitrogen can impact yields. You should also match the recommended K:N ratios for those crops.</t>
    </r>
  </si>
  <si>
    <t>Results</t>
  </si>
  <si>
    <r>
      <t>Making small batches of nutrient solutions:</t>
    </r>
    <r>
      <rPr>
        <sz val="12"/>
        <color theme="1"/>
        <rFont val="Aptos"/>
        <family val="2"/>
      </rPr>
      <t xml:space="preserve"> the values you typed in Step 3 to match the nutrient solution requirements refer to how many grams of each fertilizer you need to make 10 liters of nutrient solution. Make sure to split the 10-liter volume and dissolve each fertilizer separately, then combine the solutions once they are fully dissolved. The results are also listed in a table below Step 4 in grams per 10 liters and ounces per 10 gallons:</t>
    </r>
  </si>
  <si>
    <r>
      <t xml:space="preserve">Using injectors: </t>
    </r>
    <r>
      <rPr>
        <sz val="12"/>
        <color theme="1"/>
        <rFont val="Aptos"/>
        <family val="2"/>
      </rPr>
      <t>Injectors, as the name implies, inject a concentrated stock solution into the irrigation system. It is recommended to at least have a separate injector for the calcium source and another injector for the other fertilizer sources. The spreadsheet will also show how much fertilizer to dissolve per volume of stock solution when using injectors set at an injection rate of 1:100:</t>
    </r>
  </si>
  <si>
    <r>
      <t xml:space="preserve">Cost of fertilizers per volume of nutrient solution: </t>
    </r>
    <r>
      <rPr>
        <sz val="12"/>
        <color theme="1"/>
        <rFont val="Aptos"/>
        <family val="2"/>
      </rPr>
      <t>Additionally, you can enter the cost of each fertilizer per kilogram and the spreadsheet will tell you the cost for every 10 liters of nutrient solution:</t>
    </r>
  </si>
  <si>
    <t>Entering additional crops and fertilizers</t>
  </si>
  <si>
    <t>You may have noticed that there were options called “Enter new crop” or “Enter new fertilizer” when selecting the target crop and type of fertilizer, respectively. The spreadsheet allows you to enter one additional crop and additional new fertilizers. You will find the sections to do so if you scroll to the top of the spreadsheet and all the way to the right (starting in column “AK”).</t>
  </si>
  <si>
    <t xml:space="preserve">Entering new crop </t>
  </si>
  <si>
    <r>
      <t>1.</t>
    </r>
    <r>
      <rPr>
        <sz val="7"/>
        <color theme="1"/>
        <rFont val="Times New Roman"/>
        <family val="1"/>
      </rPr>
      <t xml:space="preserve">       </t>
    </r>
    <r>
      <rPr>
        <sz val="12"/>
        <color theme="1"/>
        <rFont val="Aptos"/>
        <family val="2"/>
      </rPr>
      <t>Scroll all the way to the right to column AK.</t>
    </r>
  </si>
  <si>
    <r>
      <t>2.</t>
    </r>
    <r>
      <rPr>
        <sz val="7"/>
        <color theme="1"/>
        <rFont val="Times New Roman"/>
        <family val="1"/>
      </rPr>
      <t xml:space="preserve">       </t>
    </r>
    <r>
      <rPr>
        <sz val="12"/>
        <color theme="1"/>
        <rFont val="Aptos"/>
        <family val="2"/>
      </rPr>
      <t>Locate the yellow cell that says “Enter new crop” and type the name of the new crop.</t>
    </r>
  </si>
  <si>
    <r>
      <t>3.</t>
    </r>
    <r>
      <rPr>
        <sz val="7"/>
        <color theme="1"/>
        <rFont val="Times New Roman"/>
        <family val="1"/>
      </rPr>
      <t xml:space="preserve">       </t>
    </r>
    <r>
      <rPr>
        <sz val="12"/>
        <color theme="1"/>
        <rFont val="Aptos"/>
        <family val="2"/>
      </rPr>
      <t>Keep scrolling right to column BJ and replace every instance of “Enter new crop” with the name of the new crop. MAKE SURE THE NAMES MATCH IN ALL CELLS.</t>
    </r>
  </si>
  <si>
    <r>
      <t>4.</t>
    </r>
    <r>
      <rPr>
        <sz val="7"/>
        <color theme="1"/>
        <rFont val="Times New Roman"/>
        <family val="1"/>
      </rPr>
      <t xml:space="preserve">       </t>
    </r>
    <r>
      <rPr>
        <sz val="12"/>
        <color theme="1"/>
        <rFont val="Aptos"/>
        <family val="2"/>
      </rPr>
      <t>Type in the requirements for each element, K:N ratio (if applicable), and pH.</t>
    </r>
  </si>
  <si>
    <r>
      <t>5.</t>
    </r>
    <r>
      <rPr>
        <sz val="7"/>
        <color theme="1"/>
        <rFont val="Times New Roman"/>
        <family val="1"/>
      </rPr>
      <t xml:space="preserve">       </t>
    </r>
    <r>
      <rPr>
        <sz val="12"/>
        <color theme="1"/>
        <rFont val="Aptos"/>
        <family val="2"/>
      </rPr>
      <t>Now you can select this crop in the table in Step 2.</t>
    </r>
  </si>
  <si>
    <t>Entering new fertilizers</t>
  </si>
  <si>
    <r>
      <t>1.</t>
    </r>
    <r>
      <rPr>
        <sz val="7"/>
        <color theme="1"/>
        <rFont val="Times New Roman"/>
        <family val="1"/>
      </rPr>
      <t xml:space="preserve">       </t>
    </r>
    <r>
      <rPr>
        <sz val="12"/>
        <color theme="1"/>
        <rFont val="Aptos"/>
        <family val="2"/>
      </rPr>
      <t>Scroll all the way to the right to column AN</t>
    </r>
  </si>
  <si>
    <r>
      <t>2.</t>
    </r>
    <r>
      <rPr>
        <sz val="7"/>
        <color theme="1"/>
        <rFont val="Times New Roman"/>
        <family val="1"/>
      </rPr>
      <t xml:space="preserve">       </t>
    </r>
    <r>
      <rPr>
        <sz val="12"/>
        <color theme="1"/>
        <rFont val="Aptos"/>
        <family val="2"/>
      </rPr>
      <t>Locate the cells with yellow background with the words “Enter new fertilizer 1” and “Enter new fertilizer 2” to replace them with the name of the fertilizer of your choice.</t>
    </r>
  </si>
  <si>
    <r>
      <t>3.</t>
    </r>
    <r>
      <rPr>
        <sz val="7"/>
        <color theme="1"/>
        <rFont val="Times New Roman"/>
        <family val="1"/>
      </rPr>
      <t xml:space="preserve">       </t>
    </r>
    <r>
      <rPr>
        <sz val="12"/>
        <color theme="1"/>
        <rFont val="Aptos"/>
        <family val="2"/>
      </rPr>
      <t>Enter the nutrient content as shown in the fertilizer label. You can only add the nutrient content in percentage, remember that 1% = 10,000 ppm (mg/L).</t>
    </r>
  </si>
  <si>
    <r>
      <t>4.</t>
    </r>
    <r>
      <rPr>
        <sz val="7"/>
        <color theme="1"/>
        <rFont val="Times New Roman"/>
        <family val="1"/>
      </rPr>
      <t xml:space="preserve">       </t>
    </r>
    <r>
      <rPr>
        <sz val="12"/>
        <color theme="1"/>
        <rFont val="Aptos"/>
        <family val="2"/>
      </rPr>
      <t>Now you can select these fertilizers from the list in the table shown in Step 3.</t>
    </r>
  </si>
  <si>
    <r>
      <t xml:space="preserve">Sources of nutrient solution recipes: </t>
    </r>
    <r>
      <rPr>
        <sz val="12"/>
        <color theme="1"/>
        <rFont val="Aptos"/>
        <family val="2"/>
      </rPr>
      <t>The sources of the nutrient solution recipes are shown in a text box underneath the table where you input the new crop requirements:</t>
    </r>
  </si>
  <si>
    <r>
      <t xml:space="preserve">STEP 1: </t>
    </r>
    <r>
      <rPr>
        <sz val="11"/>
        <color theme="1"/>
        <rFont val="Calibri"/>
        <family val="2"/>
        <scheme val="minor"/>
      </rPr>
      <t>Insert results from you water test report</t>
    </r>
    <r>
      <rPr>
        <b/>
        <sz val="11"/>
        <color theme="1"/>
        <rFont val="Calibri"/>
        <family val="2"/>
        <scheme val="minor"/>
      </rPr>
      <t xml:space="preserve"> (in parts per million - ppm)</t>
    </r>
  </si>
  <si>
    <t>Water test report concentration (in ppm from total N to Zn)</t>
  </si>
  <si>
    <t>Hydroponic Nutrient Solution Calculator</t>
  </si>
  <si>
    <t>Created: 1/2026</t>
  </si>
  <si>
    <t>Developed by:</t>
  </si>
  <si>
    <t>University of Missouri Extension</t>
  </si>
  <si>
    <t>Use this calculator spreadsheet to generate or diagnose hydroponic nutrient solution recipes. You will need to input the results from your water test report and select your desired crop and fertilizers. The spreadsheet allows you to enter requirements for an additional crops and fertilizers. Use the yellow shaded boxes in worksheets to change inputs.</t>
  </si>
  <si>
    <t>This worksheet is for educational purposes only and the user assumes all risks associated with its use.</t>
  </si>
  <si>
    <t>For more information, refer to MU Extension publication g6984 - Hydroponic Nutrient Solutions</t>
  </si>
  <si>
    <t>Juan Cabrera-Garcia and Ryan Milhollin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</si>
</sst>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quot;$&quot;#,##0.00"/>
    <numFmt numFmtId="166" formatCode="0.0"/>
  </numFmts>
  <fonts count="28" x14ac:knownFonts="1">
    <font>
      <sz val="11"/>
      <color theme="1"/>
      <name val="Calibri"/>
      <family val="2"/>
      <scheme val="minor"/>
    </font>
    <font>
      <b/>
      <sz val="11"/>
      <color theme="1"/>
      <name val="Calibri"/>
      <family val="2"/>
      <scheme val="minor"/>
    </font>
    <font>
      <b/>
      <i/>
      <sz val="11"/>
      <color theme="1"/>
      <name val="Calibri"/>
      <family val="2"/>
      <scheme val="minor"/>
    </font>
    <font>
      <u/>
      <sz val="11"/>
      <color theme="1"/>
      <name val="Calibri"/>
      <family val="2"/>
      <scheme val="minor"/>
    </font>
    <font>
      <i/>
      <sz val="11"/>
      <color theme="1"/>
      <name val="Calibri"/>
      <family val="2"/>
      <scheme val="minor"/>
    </font>
    <font>
      <sz val="10"/>
      <color theme="1"/>
      <name val="Calibri"/>
      <family val="2"/>
      <scheme val="minor"/>
    </font>
    <font>
      <sz val="11"/>
      <color theme="0"/>
      <name val="Calibri"/>
      <family val="2"/>
      <scheme val="minor"/>
    </font>
    <font>
      <sz val="8"/>
      <name val="Calibri"/>
      <family val="2"/>
      <scheme val="minor"/>
    </font>
    <font>
      <b/>
      <sz val="11"/>
      <color theme="0"/>
      <name val="Calibri"/>
      <family val="2"/>
      <scheme val="minor"/>
    </font>
    <font>
      <sz val="10"/>
      <color theme="0"/>
      <name val="Calibri"/>
      <family val="2"/>
      <scheme val="minor"/>
    </font>
    <font>
      <b/>
      <sz val="10"/>
      <color theme="1"/>
      <name val="Calibri"/>
      <family val="2"/>
      <scheme val="minor"/>
    </font>
    <font>
      <i/>
      <sz val="10"/>
      <color theme="1"/>
      <name val="Calibri"/>
      <family val="2"/>
      <scheme val="minor"/>
    </font>
    <font>
      <i/>
      <vertAlign val="superscript"/>
      <sz val="10"/>
      <color theme="1"/>
      <name val="Calibri"/>
      <family val="2"/>
      <scheme val="minor"/>
    </font>
    <font>
      <sz val="12"/>
      <color theme="1"/>
      <name val="Aptos"/>
      <family val="2"/>
    </font>
    <font>
      <b/>
      <sz val="12"/>
      <color theme="1"/>
      <name val="Aptos"/>
      <family val="2"/>
    </font>
    <font>
      <b/>
      <sz val="14"/>
      <color theme="1"/>
      <name val="Aptos"/>
      <family val="2"/>
    </font>
    <font>
      <i/>
      <sz val="12"/>
      <color theme="1"/>
      <name val="Aptos"/>
      <family val="2"/>
    </font>
    <font>
      <sz val="12"/>
      <color theme="1"/>
      <name val="Symbol"/>
      <family val="1"/>
      <charset val="2"/>
    </font>
    <font>
      <sz val="7"/>
      <color theme="1"/>
      <name val="Times New Roman"/>
      <family val="1"/>
    </font>
    <font>
      <b/>
      <sz val="11"/>
      <color rgb="FF3F3F3F"/>
      <name val="Calibri"/>
      <family val="2"/>
      <scheme val="minor"/>
    </font>
    <font>
      <sz val="11"/>
      <color theme="1"/>
      <name val="Segoe UI"/>
      <family val="2"/>
    </font>
    <font>
      <b/>
      <sz val="14"/>
      <color rgb="FFF1B82D"/>
      <name val="Segoe UI Black"/>
      <family val="2"/>
    </font>
    <font>
      <b/>
      <sz val="11"/>
      <color theme="1"/>
      <name val="Segoe UI"/>
      <family val="2"/>
    </font>
    <font>
      <sz val="11"/>
      <name val="Segoe UI"/>
      <family val="2"/>
    </font>
    <font>
      <b/>
      <sz val="10"/>
      <color rgb="FF3F3F3F"/>
      <name val="Segoe UI"/>
      <family val="2"/>
    </font>
    <font>
      <b/>
      <sz val="14"/>
      <color rgb="FFF1B82D"/>
      <name val="Segoe UI"/>
      <family val="2"/>
    </font>
    <font>
      <u/>
      <sz val="11"/>
      <color theme="10"/>
      <name val="Calibri"/>
      <family val="2"/>
      <scheme val="minor"/>
    </font>
    <font>
      <u/>
      <sz val="14"/>
      <color theme="10"/>
      <name val="Calibri"/>
      <family val="2"/>
      <scheme val="minor"/>
    </font>
  </fonts>
  <fills count="1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8"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rgb="FFF2F2F2"/>
      </patternFill>
    </fill>
    <fill>
      <patternFill patternType="solid">
        <fgColor theme="1"/>
        <bgColor indexed="64"/>
      </patternFill>
    </fill>
    <fill>
      <patternFill patternType="solid">
        <fgColor theme="2"/>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9" fillId="10" borderId="19" applyNumberFormat="0" applyAlignment="0" applyProtection="0"/>
    <xf numFmtId="0" fontId="26" fillId="0" borderId="0" applyNumberFormat="0" applyFill="0" applyBorder="0" applyAlignment="0" applyProtection="0"/>
  </cellStyleXfs>
  <cellXfs count="139">
    <xf numFmtId="0" fontId="0" fillId="0" borderId="0" xfId="0"/>
    <xf numFmtId="0" fontId="1" fillId="0" borderId="0" xfId="0" applyFont="1"/>
    <xf numFmtId="49" fontId="0" fillId="0" borderId="0" xfId="0" applyNumberFormat="1"/>
    <xf numFmtId="0" fontId="0" fillId="0" borderId="1" xfId="0" applyBorder="1"/>
    <xf numFmtId="0" fontId="1" fillId="0" borderId="1" xfId="0" applyFont="1" applyBorder="1"/>
    <xf numFmtId="0" fontId="0" fillId="2" borderId="1" xfId="0" applyFill="1" applyBorder="1"/>
    <xf numFmtId="49" fontId="1" fillId="0" borderId="0" xfId="0" applyNumberFormat="1" applyFont="1"/>
    <xf numFmtId="49" fontId="2" fillId="0" borderId="0" xfId="0" applyNumberFormat="1" applyFont="1"/>
    <xf numFmtId="1" fontId="0" fillId="0" borderId="0" xfId="0" applyNumberFormat="1"/>
    <xf numFmtId="2" fontId="0" fillId="0" borderId="0" xfId="0" applyNumberFormat="1"/>
    <xf numFmtId="0" fontId="0" fillId="0" borderId="3" xfId="0" applyBorder="1"/>
    <xf numFmtId="0" fontId="1" fillId="0" borderId="1" xfId="0" applyFont="1" applyBorder="1" applyAlignment="1">
      <alignment horizontal="center"/>
    </xf>
    <xf numFmtId="0" fontId="3" fillId="0" borderId="0" xfId="0" applyFont="1"/>
    <xf numFmtId="0" fontId="0" fillId="0" borderId="0" xfId="0" applyAlignment="1">
      <alignment horizontal="right"/>
    </xf>
    <xf numFmtId="0" fontId="0" fillId="0" borderId="0" xfId="0" applyAlignment="1">
      <alignment horizontal="center"/>
    </xf>
    <xf numFmtId="0" fontId="0" fillId="2" borderId="1" xfId="0" applyFill="1" applyBorder="1" applyAlignment="1">
      <alignment horizontal="center"/>
    </xf>
    <xf numFmtId="2" fontId="0" fillId="2" borderId="1" xfId="0" applyNumberFormat="1" applyFill="1" applyBorder="1" applyAlignment="1">
      <alignment horizontal="center"/>
    </xf>
    <xf numFmtId="0" fontId="0" fillId="2" borderId="1" xfId="0" applyFill="1" applyBorder="1" applyAlignment="1">
      <alignment horizontal="left"/>
    </xf>
    <xf numFmtId="0" fontId="0" fillId="0" borderId="0" xfId="0" applyAlignment="1">
      <alignment horizontal="left"/>
    </xf>
    <xf numFmtId="2" fontId="0" fillId="0" borderId="0" xfId="0" applyNumberFormat="1" applyAlignment="1">
      <alignment horizontal="center"/>
    </xf>
    <xf numFmtId="0" fontId="0" fillId="0" borderId="11" xfId="0" applyBorder="1"/>
    <xf numFmtId="49" fontId="0" fillId="0" borderId="0" xfId="0" applyNumberFormat="1" applyAlignment="1">
      <alignment horizontal="center"/>
    </xf>
    <xf numFmtId="166" fontId="0" fillId="0" borderId="0" xfId="0" applyNumberFormat="1"/>
    <xf numFmtId="0" fontId="0" fillId="4" borderId="0" xfId="0" applyFill="1"/>
    <xf numFmtId="164" fontId="0" fillId="0" borderId="0" xfId="0" applyNumberFormat="1"/>
    <xf numFmtId="0" fontId="1" fillId="0" borderId="0" xfId="0" applyFont="1" applyAlignment="1">
      <alignment wrapText="1"/>
    </xf>
    <xf numFmtId="0" fontId="1" fillId="0" borderId="0" xfId="0" applyFont="1" applyAlignment="1">
      <alignment horizontal="center" wrapText="1"/>
    </xf>
    <xf numFmtId="0" fontId="1" fillId="0" borderId="0" xfId="0" applyFont="1" applyAlignment="1">
      <alignment horizontal="center"/>
    </xf>
    <xf numFmtId="0" fontId="0" fillId="4" borderId="10" xfId="0" applyFill="1" applyBorder="1"/>
    <xf numFmtId="0" fontId="0" fillId="4" borderId="3" xfId="0" applyFill="1" applyBorder="1"/>
    <xf numFmtId="0" fontId="0" fillId="4" borderId="11" xfId="0" applyFill="1" applyBorder="1"/>
    <xf numFmtId="2" fontId="6" fillId="0" borderId="0" xfId="0" applyNumberFormat="1" applyFont="1"/>
    <xf numFmtId="0" fontId="3" fillId="0" borderId="4" xfId="0" applyFont="1" applyBorder="1"/>
    <xf numFmtId="0" fontId="3" fillId="0" borderId="5" xfId="0" applyFont="1" applyBorder="1" applyAlignment="1">
      <alignment horizontal="center"/>
    </xf>
    <xf numFmtId="0" fontId="3" fillId="0" borderId="6" xfId="0" applyFont="1" applyBorder="1" applyAlignment="1">
      <alignment horizontal="center"/>
    </xf>
    <xf numFmtId="49" fontId="0" fillId="0" borderId="12" xfId="0" applyNumberFormat="1" applyBorder="1"/>
    <xf numFmtId="0" fontId="0" fillId="0" borderId="13" xfId="0" applyBorder="1"/>
    <xf numFmtId="0" fontId="0" fillId="0" borderId="8" xfId="0" applyBorder="1"/>
    <xf numFmtId="0" fontId="0" fillId="2" borderId="13" xfId="0" applyFill="1" applyBorder="1"/>
    <xf numFmtId="0" fontId="0" fillId="0" borderId="4" xfId="0" applyBorder="1"/>
    <xf numFmtId="0" fontId="0" fillId="0" borderId="5" xfId="0" applyBorder="1"/>
    <xf numFmtId="0" fontId="0" fillId="0" borderId="6" xfId="0" applyBorder="1"/>
    <xf numFmtId="0" fontId="0" fillId="0" borderId="12" xfId="0" applyBorder="1"/>
    <xf numFmtId="166" fontId="0" fillId="0" borderId="13" xfId="0" applyNumberFormat="1" applyBorder="1"/>
    <xf numFmtId="2" fontId="0" fillId="0" borderId="13" xfId="0" applyNumberFormat="1" applyBorder="1"/>
    <xf numFmtId="0" fontId="0" fillId="0" borderId="7" xfId="0" applyBorder="1"/>
    <xf numFmtId="166" fontId="0" fillId="0" borderId="8" xfId="0" applyNumberFormat="1" applyBorder="1"/>
    <xf numFmtId="49" fontId="0" fillId="0" borderId="8" xfId="0" applyNumberFormat="1" applyBorder="1"/>
    <xf numFmtId="49" fontId="0" fillId="0" borderId="8" xfId="0" applyNumberFormat="1" applyBorder="1" applyAlignment="1">
      <alignment horizontal="center"/>
    </xf>
    <xf numFmtId="49" fontId="0" fillId="0" borderId="9" xfId="0" applyNumberFormat="1" applyBorder="1" applyAlignment="1">
      <alignment horizontal="center"/>
    </xf>
    <xf numFmtId="166" fontId="0" fillId="2" borderId="0" xfId="0" applyNumberFormat="1" applyFill="1"/>
    <xf numFmtId="166" fontId="0" fillId="2" borderId="8" xfId="0" applyNumberFormat="1" applyFill="1" applyBorder="1"/>
    <xf numFmtId="166" fontId="0" fillId="2" borderId="1" xfId="0" applyNumberFormat="1" applyFill="1" applyBorder="1" applyAlignment="1">
      <alignment horizontal="center"/>
    </xf>
    <xf numFmtId="165" fontId="0" fillId="2" borderId="1" xfId="0" applyNumberFormat="1" applyFill="1" applyBorder="1" applyAlignment="1">
      <alignment horizontal="center"/>
    </xf>
    <xf numFmtId="0" fontId="5" fillId="0" borderId="0" xfId="0" applyFont="1"/>
    <xf numFmtId="165" fontId="1" fillId="0" borderId="0" xfId="0" applyNumberFormat="1" applyFont="1" applyAlignment="1">
      <alignment horizontal="center"/>
    </xf>
    <xf numFmtId="14" fontId="0" fillId="0" borderId="0" xfId="0" applyNumberFormat="1"/>
    <xf numFmtId="0" fontId="0" fillId="0" borderId="0" xfId="0" applyAlignment="1">
      <alignment wrapText="1"/>
    </xf>
    <xf numFmtId="0" fontId="1" fillId="0" borderId="2" xfId="0" applyFont="1" applyBorder="1" applyAlignment="1">
      <alignment horizontal="center"/>
    </xf>
    <xf numFmtId="0" fontId="0" fillId="3" borderId="1" xfId="0" applyFill="1" applyBorder="1"/>
    <xf numFmtId="0" fontId="0" fillId="3" borderId="1" xfId="0" applyFill="1" applyBorder="1" applyAlignment="1">
      <alignment horizontal="center"/>
    </xf>
    <xf numFmtId="0" fontId="1" fillId="0" borderId="0" xfId="0" applyFont="1" applyAlignment="1">
      <alignment horizontal="left"/>
    </xf>
    <xf numFmtId="0" fontId="1" fillId="0" borderId="1" xfId="0" applyFont="1" applyBorder="1" applyAlignment="1">
      <alignment horizontal="left"/>
    </xf>
    <xf numFmtId="0" fontId="5" fillId="3" borderId="0" xfId="0" applyFont="1" applyFill="1"/>
    <xf numFmtId="0" fontId="5" fillId="3" borderId="0" xfId="0" applyFont="1" applyFill="1" applyAlignment="1">
      <alignment horizontal="center"/>
    </xf>
    <xf numFmtId="0" fontId="6" fillId="0" borderId="0" xfId="0" applyFont="1" applyAlignment="1">
      <alignment horizontal="center" wrapText="1"/>
    </xf>
    <xf numFmtId="0" fontId="6" fillId="0" borderId="0" xfId="0" applyFont="1" applyAlignment="1">
      <alignment horizontal="center"/>
    </xf>
    <xf numFmtId="3" fontId="6" fillId="0" borderId="0" xfId="0" applyNumberFormat="1" applyFont="1"/>
    <xf numFmtId="0" fontId="9" fillId="0" borderId="0" xfId="0" applyFont="1"/>
    <xf numFmtId="2" fontId="1" fillId="5" borderId="1" xfId="0" applyNumberFormat="1" applyFont="1" applyFill="1" applyBorder="1" applyAlignment="1">
      <alignment horizontal="center"/>
    </xf>
    <xf numFmtId="165" fontId="0" fillId="7" borderId="1" xfId="0" applyNumberFormat="1" applyFill="1" applyBorder="1" applyAlignment="1">
      <alignment horizontal="center"/>
    </xf>
    <xf numFmtId="165" fontId="1" fillId="7" borderId="1" xfId="0" applyNumberFormat="1" applyFont="1" applyFill="1" applyBorder="1" applyAlignment="1">
      <alignment horizontal="center"/>
    </xf>
    <xf numFmtId="0" fontId="4" fillId="0" borderId="0" xfId="0" applyFont="1" applyAlignment="1">
      <alignment horizontal="right"/>
    </xf>
    <xf numFmtId="0" fontId="4" fillId="2" borderId="1" xfId="0" applyFont="1" applyFill="1" applyBorder="1"/>
    <xf numFmtId="0" fontId="4" fillId="2" borderId="14" xfId="0" applyFont="1" applyFill="1" applyBorder="1"/>
    <xf numFmtId="0" fontId="6" fillId="0" borderId="0" xfId="0" applyFont="1"/>
    <xf numFmtId="49" fontId="4" fillId="2" borderId="12" xfId="0" applyNumberFormat="1" applyFont="1" applyFill="1" applyBorder="1"/>
    <xf numFmtId="0" fontId="8" fillId="0" borderId="0" xfId="0" applyFont="1" applyAlignment="1">
      <alignment horizontal="center"/>
    </xf>
    <xf numFmtId="0" fontId="1" fillId="5" borderId="1" xfId="0" applyFont="1" applyFill="1" applyBorder="1"/>
    <xf numFmtId="49" fontId="1" fillId="5" borderId="1" xfId="0" applyNumberFormat="1" applyFont="1" applyFill="1" applyBorder="1" applyAlignment="1">
      <alignment horizontal="center" wrapText="1"/>
    </xf>
    <xf numFmtId="0" fontId="1" fillId="5" borderId="1" xfId="0" applyFont="1" applyFill="1" applyBorder="1" applyAlignment="1">
      <alignment horizontal="center" wrapText="1"/>
    </xf>
    <xf numFmtId="165" fontId="1" fillId="5" borderId="1" xfId="0" applyNumberFormat="1" applyFont="1" applyFill="1" applyBorder="1" applyAlignment="1">
      <alignment horizontal="center" wrapText="1"/>
    </xf>
    <xf numFmtId="0" fontId="0" fillId="6" borderId="1" xfId="0" applyFill="1" applyBorder="1"/>
    <xf numFmtId="166" fontId="0" fillId="6" borderId="1" xfId="0" applyNumberFormat="1" applyFill="1" applyBorder="1" applyAlignment="1">
      <alignment horizontal="center"/>
    </xf>
    <xf numFmtId="0" fontId="0" fillId="6" borderId="1" xfId="0" applyFill="1" applyBorder="1" applyAlignment="1">
      <alignment horizontal="center"/>
    </xf>
    <xf numFmtId="166" fontId="5" fillId="6" borderId="1" xfId="0" applyNumberFormat="1" applyFont="1" applyFill="1" applyBorder="1" applyAlignment="1">
      <alignment horizontal="center"/>
    </xf>
    <xf numFmtId="2" fontId="0" fillId="6" borderId="1" xfId="0" applyNumberFormat="1" applyFill="1" applyBorder="1" applyAlignment="1">
      <alignment horizontal="center"/>
    </xf>
    <xf numFmtId="0" fontId="0" fillId="8" borderId="1" xfId="0" applyFill="1" applyBorder="1"/>
    <xf numFmtId="0" fontId="11" fillId="0" borderId="3" xfId="0" applyFont="1" applyBorder="1" applyAlignment="1">
      <alignment horizontal="center" wrapText="1"/>
    </xf>
    <xf numFmtId="0" fontId="1" fillId="0" borderId="5" xfId="0" applyFont="1" applyBorder="1"/>
    <xf numFmtId="166" fontId="0" fillId="0" borderId="9" xfId="0" applyNumberFormat="1" applyBorder="1"/>
    <xf numFmtId="49" fontId="4" fillId="9" borderId="12" xfId="0" applyNumberFormat="1" applyFont="1" applyFill="1" applyBorder="1"/>
    <xf numFmtId="166" fontId="0" fillId="9" borderId="0" xfId="0" applyNumberFormat="1" applyFill="1"/>
    <xf numFmtId="0" fontId="0" fillId="9" borderId="13" xfId="0" applyFill="1" applyBorder="1"/>
    <xf numFmtId="0" fontId="14" fillId="0" borderId="0" xfId="0" applyFont="1" applyAlignment="1">
      <alignment vertical="center"/>
    </xf>
    <xf numFmtId="0" fontId="16" fillId="0" borderId="0" xfId="0" applyFont="1" applyAlignment="1">
      <alignment vertical="center"/>
    </xf>
    <xf numFmtId="0" fontId="1" fillId="0" borderId="2" xfId="0" applyFont="1" applyBorder="1"/>
    <xf numFmtId="0" fontId="11" fillId="0" borderId="1" xfId="0" applyFont="1" applyBorder="1" applyAlignment="1">
      <alignment horizontal="center" wrapText="1"/>
    </xf>
    <xf numFmtId="0" fontId="11" fillId="0" borderId="18" xfId="0" applyFont="1" applyBorder="1" applyAlignment="1">
      <alignment wrapText="1"/>
    </xf>
    <xf numFmtId="0" fontId="11" fillId="0" borderId="10" xfId="0" applyFont="1" applyBorder="1" applyAlignment="1">
      <alignment wrapText="1"/>
    </xf>
    <xf numFmtId="0" fontId="10" fillId="0" borderId="11" xfId="0" applyFont="1" applyBorder="1" applyAlignment="1">
      <alignment horizontal="center" wrapText="1"/>
    </xf>
    <xf numFmtId="0" fontId="1" fillId="5" borderId="1" xfId="0" applyFont="1" applyFill="1" applyBorder="1" applyAlignment="1">
      <alignment horizontal="left"/>
    </xf>
    <xf numFmtId="0" fontId="0" fillId="6" borderId="1" xfId="0" applyFill="1" applyBorder="1" applyAlignment="1">
      <alignment horizontal="left"/>
    </xf>
    <xf numFmtId="0" fontId="14" fillId="0" borderId="0" xfId="0" applyFont="1" applyAlignment="1">
      <alignment horizontal="left" vertical="center" wrapText="1"/>
    </xf>
    <xf numFmtId="0" fontId="13" fillId="0" borderId="0" xfId="0" applyFont="1" applyAlignment="1">
      <alignment horizontal="left" vertical="center" indent="1"/>
    </xf>
    <xf numFmtId="0" fontId="13" fillId="0" borderId="0" xfId="0" applyFont="1" applyAlignment="1">
      <alignment horizontal="left" vertical="center" wrapText="1" indent="1"/>
    </xf>
    <xf numFmtId="0" fontId="13" fillId="0" borderId="0" xfId="0" applyFont="1" applyAlignment="1">
      <alignment horizontal="left" wrapText="1"/>
    </xf>
    <xf numFmtId="0" fontId="16" fillId="0" borderId="0" xfId="0" applyFont="1" applyAlignment="1">
      <alignment horizontal="left" wrapText="1"/>
    </xf>
    <xf numFmtId="0" fontId="16" fillId="0" borderId="0" xfId="0" applyFont="1" applyAlignment="1">
      <alignment horizontal="left" vertical="center" wrapText="1"/>
    </xf>
    <xf numFmtId="0" fontId="17" fillId="0" borderId="0" xfId="0" applyFont="1" applyAlignment="1">
      <alignment horizontal="left" vertical="center" wrapText="1" indent="1"/>
    </xf>
    <xf numFmtId="0" fontId="13" fillId="0" borderId="0" xfId="0" applyFont="1" applyAlignment="1">
      <alignment horizontal="left" vertical="center" wrapText="1"/>
    </xf>
    <xf numFmtId="0" fontId="14" fillId="0" borderId="0" xfId="0" applyFont="1" applyAlignment="1">
      <alignment horizontal="left" wrapText="1"/>
    </xf>
    <xf numFmtId="0" fontId="15" fillId="0" borderId="0" xfId="0" applyFont="1" applyAlignment="1">
      <alignment horizontal="left" vertical="center"/>
    </xf>
    <xf numFmtId="0" fontId="14" fillId="0" borderId="0" xfId="0" applyFont="1" applyAlignment="1">
      <alignment horizontal="left" vertical="center"/>
    </xf>
    <xf numFmtId="0" fontId="13" fillId="0" borderId="15" xfId="0" applyFont="1" applyBorder="1" applyAlignment="1">
      <alignment horizontal="left" wrapText="1"/>
    </xf>
    <xf numFmtId="0" fontId="13" fillId="0" borderId="16" xfId="0" applyFont="1" applyBorder="1" applyAlignment="1">
      <alignment horizontal="left" wrapText="1"/>
    </xf>
    <xf numFmtId="0" fontId="13" fillId="0" borderId="17" xfId="0" applyFont="1" applyBorder="1" applyAlignment="1">
      <alignment horizontal="left" wrapText="1"/>
    </xf>
    <xf numFmtId="0" fontId="14" fillId="0" borderId="0" xfId="0" applyFont="1" applyAlignment="1">
      <alignment horizontal="left"/>
    </xf>
    <xf numFmtId="0" fontId="1" fillId="0" borderId="2" xfId="0" applyFont="1" applyBorder="1" applyAlignment="1">
      <alignment horizontal="center"/>
    </xf>
    <xf numFmtId="0" fontId="20" fillId="0" borderId="0" xfId="0" applyFont="1"/>
    <xf numFmtId="0" fontId="20" fillId="11" borderId="20" xfId="0" applyFont="1" applyFill="1" applyBorder="1"/>
    <xf numFmtId="0" fontId="21" fillId="11" borderId="21" xfId="0" applyFont="1" applyFill="1" applyBorder="1" applyAlignment="1">
      <alignment horizontal="center"/>
    </xf>
    <xf numFmtId="0" fontId="21" fillId="11" borderId="22" xfId="0" applyFont="1" applyFill="1" applyBorder="1" applyAlignment="1">
      <alignment horizontal="center"/>
    </xf>
    <xf numFmtId="0" fontId="21" fillId="11" borderId="23" xfId="0" applyFont="1" applyFill="1" applyBorder="1" applyAlignment="1">
      <alignment horizontal="center"/>
    </xf>
    <xf numFmtId="0" fontId="20" fillId="11" borderId="24" xfId="0" applyFont="1" applyFill="1" applyBorder="1"/>
    <xf numFmtId="0" fontId="20" fillId="0" borderId="0" xfId="0" applyFont="1" applyAlignment="1">
      <alignment horizontal="right"/>
    </xf>
    <xf numFmtId="0" fontId="20" fillId="0" borderId="0" xfId="0" applyFont="1"/>
    <xf numFmtId="0" fontId="22" fillId="0" borderId="0" xfId="0" applyFont="1"/>
    <xf numFmtId="0" fontId="22" fillId="0" borderId="0" xfId="0" applyFont="1" applyAlignment="1">
      <alignment horizontal="left" indent="4"/>
    </xf>
    <xf numFmtId="0" fontId="23" fillId="0" borderId="0" xfId="0" applyFont="1" applyAlignment="1">
      <alignment horizontal="left" vertical="top" wrapText="1"/>
    </xf>
    <xf numFmtId="0" fontId="23" fillId="0" borderId="0" xfId="0" applyFont="1" applyAlignment="1">
      <alignment horizontal="left" vertical="center" wrapText="1"/>
    </xf>
    <xf numFmtId="0" fontId="24" fillId="12" borderId="20" xfId="1" applyFont="1" applyFill="1" applyBorder="1" applyAlignment="1">
      <alignment horizontal="center"/>
    </xf>
    <xf numFmtId="0" fontId="24" fillId="12" borderId="22" xfId="1" applyFont="1" applyFill="1" applyBorder="1" applyAlignment="1">
      <alignment horizontal="center"/>
    </xf>
    <xf numFmtId="0" fontId="24" fillId="12" borderId="24" xfId="1" applyFont="1" applyFill="1" applyBorder="1" applyAlignment="1">
      <alignment horizontal="center"/>
    </xf>
    <xf numFmtId="0" fontId="24" fillId="13" borderId="0" xfId="1" applyFont="1" applyFill="1" applyBorder="1" applyAlignment="1">
      <alignment horizontal="center"/>
    </xf>
    <xf numFmtId="0" fontId="25" fillId="11" borderId="21" xfId="0" applyFont="1" applyFill="1" applyBorder="1"/>
    <xf numFmtId="0" fontId="25" fillId="11" borderId="22" xfId="0" applyFont="1" applyFill="1" applyBorder="1"/>
    <xf numFmtId="0" fontId="25" fillId="11" borderId="23" xfId="0" applyFont="1" applyFill="1" applyBorder="1"/>
    <xf numFmtId="0" fontId="27" fillId="0" borderId="0" xfId="2" applyFont="1" applyAlignment="1">
      <alignment horizontal="center" vertical="center" wrapText="1"/>
    </xf>
  </cellXfs>
  <cellStyles count="3">
    <cellStyle name="Hyperlink" xfId="2" builtinId="8"/>
    <cellStyle name="Normal" xfId="0" builtinId="0"/>
    <cellStyle name="Output" xfId="1" builtinId="21"/>
  </cellStyles>
  <dxfs count="22">
    <dxf>
      <font>
        <strike val="0"/>
        <color rgb="FFC00000"/>
      </font>
      <fill>
        <patternFill>
          <bgColor rgb="FFFF9999"/>
        </patternFill>
      </fill>
    </dxf>
    <dxf>
      <font>
        <strike val="0"/>
        <color theme="9" tint="-0.24994659260841701"/>
      </font>
      <fill>
        <patternFill>
          <bgColor theme="9" tint="0.59996337778862885"/>
        </patternFill>
      </fill>
    </dxf>
    <dxf>
      <font>
        <strike val="0"/>
        <color rgb="FFC00000"/>
      </font>
      <fill>
        <patternFill>
          <bgColor rgb="FFFF9999"/>
        </patternFill>
      </fill>
    </dxf>
    <dxf>
      <font>
        <strike val="0"/>
        <color theme="9" tint="-0.24994659260841701"/>
      </font>
      <fill>
        <patternFill>
          <bgColor theme="9" tint="0.59996337778862885"/>
        </patternFill>
      </fill>
    </dxf>
    <dxf>
      <font>
        <color rgb="FF9C0006"/>
      </font>
      <fill>
        <patternFill>
          <bgColor rgb="FFFFC7CE"/>
        </patternFill>
      </fill>
    </dxf>
    <dxf>
      <font>
        <color rgb="FF9C0006"/>
      </font>
      <fill>
        <patternFill>
          <bgColor rgb="FFFFC7CE"/>
        </patternFill>
      </fill>
    </dxf>
    <dxf>
      <font>
        <strike val="0"/>
        <color rgb="FFC00000"/>
      </font>
      <fill>
        <patternFill>
          <bgColor rgb="FFFF9999"/>
        </patternFill>
      </fill>
    </dxf>
    <dxf>
      <font>
        <strike val="0"/>
        <color theme="9" tint="-0.24994659260841701"/>
      </font>
      <fill>
        <patternFill>
          <bgColor theme="9"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_rels/drawing3.xml.rels><?xml version="1.0" encoding="UTF-8" standalone="yes"?>
<Relationships xmlns="http://schemas.openxmlformats.org/package/2006/relationships"><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oneCellAnchor>
    <xdr:from>
      <xdr:col>3</xdr:col>
      <xdr:colOff>4267200</xdr:colOff>
      <xdr:row>3</xdr:row>
      <xdr:rowOff>187675</xdr:rowOff>
    </xdr:from>
    <xdr:ext cx="2292350" cy="717775"/>
    <xdr:pic>
      <xdr:nvPicPr>
        <xdr:cNvPr id="2" name="Picture 1">
          <a:extLst>
            <a:ext uri="{FF2B5EF4-FFF2-40B4-BE49-F238E27FC236}">
              <a16:creationId xmlns:a16="http://schemas.microsoft.com/office/drawing/2014/main" id="{EDB866CB-03FE-4FEB-AB7B-B4B65F5295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24575" y="863950"/>
          <a:ext cx="2292350" cy="7177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403860</xdr:colOff>
      <xdr:row>0</xdr:row>
      <xdr:rowOff>0</xdr:rowOff>
    </xdr:from>
    <xdr:to>
      <xdr:col>9</xdr:col>
      <xdr:colOff>457200</xdr:colOff>
      <xdr:row>3</xdr:row>
      <xdr:rowOff>167640</xdr:rowOff>
    </xdr:to>
    <xdr:pic>
      <xdr:nvPicPr>
        <xdr:cNvPr id="2" name="Picture 1" descr="MU Extension logo">
          <a:extLst>
            <a:ext uri="{FF2B5EF4-FFF2-40B4-BE49-F238E27FC236}">
              <a16:creationId xmlns:a16="http://schemas.microsoft.com/office/drawing/2014/main" id="{EFFC06E8-142B-127F-ADCB-8F58014208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71060" y="0"/>
          <a:ext cx="1272540" cy="777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xdr:colOff>
      <xdr:row>5</xdr:row>
      <xdr:rowOff>276225</xdr:rowOff>
    </xdr:from>
    <xdr:to>
      <xdr:col>9</xdr:col>
      <xdr:colOff>485775</xdr:colOff>
      <xdr:row>8</xdr:row>
      <xdr:rowOff>123825</xdr:rowOff>
    </xdr:to>
    <xdr:pic>
      <xdr:nvPicPr>
        <xdr:cNvPr id="3" name="Picture 1" descr="A screenshot showing where users can input the results of their irrigation water test report">
          <a:extLst>
            <a:ext uri="{FF2B5EF4-FFF2-40B4-BE49-F238E27FC236}">
              <a16:creationId xmlns:a16="http://schemas.microsoft.com/office/drawing/2014/main" id="{D58206FB-0A89-E997-71BF-13F11F25875B}"/>
            </a:ext>
            <a:ext uri="{C183D7F6-B498-43B3-948B-1728B52AA6E4}">
              <adec:decorative xmlns:adec="http://schemas.microsoft.com/office/drawing/2017/decorative" val="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b="83694"/>
        <a:stretch>
          <a:fillRect/>
        </a:stretch>
      </xdr:blipFill>
      <xdr:spPr bwMode="auto">
        <a:xfrm>
          <a:off x="28575" y="2486025"/>
          <a:ext cx="6200775"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10</xdr:row>
      <xdr:rowOff>129540</xdr:rowOff>
    </xdr:from>
    <xdr:to>
      <xdr:col>9</xdr:col>
      <xdr:colOff>480060</xdr:colOff>
      <xdr:row>23</xdr:row>
      <xdr:rowOff>137160</xdr:rowOff>
    </xdr:to>
    <xdr:pic>
      <xdr:nvPicPr>
        <xdr:cNvPr id="4" name="Picture 1" descr="Screenshot of table beneath step 2 showing how to select a crop for the spreadsheet calculator">
          <a:extLst>
            <a:ext uri="{FF2B5EF4-FFF2-40B4-BE49-F238E27FC236}">
              <a16:creationId xmlns:a16="http://schemas.microsoft.com/office/drawing/2014/main" id="{8E0D7E45-B747-B4C9-383B-41857644E8D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4023360"/>
          <a:ext cx="5966460" cy="2385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27</xdr:row>
      <xdr:rowOff>1</xdr:rowOff>
    </xdr:from>
    <xdr:to>
      <xdr:col>9</xdr:col>
      <xdr:colOff>554886</xdr:colOff>
      <xdr:row>33</xdr:row>
      <xdr:rowOff>0</xdr:rowOff>
    </xdr:to>
    <xdr:pic>
      <xdr:nvPicPr>
        <xdr:cNvPr id="5" name="Picture 4" descr="Screenshot showing how to set up the calculator conditions in step 2">
          <a:extLst>
            <a:ext uri="{FF2B5EF4-FFF2-40B4-BE49-F238E27FC236}">
              <a16:creationId xmlns:a16="http://schemas.microsoft.com/office/drawing/2014/main" id="{530D0A28-1794-D9E1-B0DD-66C3230A079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7629526"/>
          <a:ext cx="6048906" cy="1085849"/>
        </a:xfrm>
        <a:prstGeom prst="rect">
          <a:avLst/>
        </a:prstGeom>
        <a:noFill/>
      </xdr:spPr>
    </xdr:pic>
    <xdr:clientData/>
  </xdr:twoCellAnchor>
  <xdr:twoCellAnchor editAs="oneCell">
    <xdr:from>
      <xdr:col>0</xdr:col>
      <xdr:colOff>1</xdr:colOff>
      <xdr:row>35</xdr:row>
      <xdr:rowOff>1</xdr:rowOff>
    </xdr:from>
    <xdr:to>
      <xdr:col>9</xdr:col>
      <xdr:colOff>552451</xdr:colOff>
      <xdr:row>40</xdr:row>
      <xdr:rowOff>169041</xdr:rowOff>
    </xdr:to>
    <xdr:pic>
      <xdr:nvPicPr>
        <xdr:cNvPr id="6" name="Picture 5" descr="screenshot showing how to select types of fertilizers in step 3 of the calculator. On the left it shows where to click to add fertilizer, on the right is the same table showing the dropdown with fertilizer options that can be selcted">
          <a:extLst>
            <a:ext uri="{FF2B5EF4-FFF2-40B4-BE49-F238E27FC236}">
              <a16:creationId xmlns:a16="http://schemas.microsoft.com/office/drawing/2014/main" id="{18401976-15BA-367F-D4A7-AD58DF561E6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 y="9572626"/>
          <a:ext cx="6038850" cy="1068200"/>
        </a:xfrm>
        <a:prstGeom prst="rect">
          <a:avLst/>
        </a:prstGeom>
        <a:noFill/>
      </xdr:spPr>
    </xdr:pic>
    <xdr:clientData/>
  </xdr:twoCellAnchor>
  <xdr:twoCellAnchor editAs="oneCell">
    <xdr:from>
      <xdr:col>0</xdr:col>
      <xdr:colOff>0</xdr:colOff>
      <xdr:row>45</xdr:row>
      <xdr:rowOff>0</xdr:rowOff>
    </xdr:from>
    <xdr:to>
      <xdr:col>9</xdr:col>
      <xdr:colOff>552450</xdr:colOff>
      <xdr:row>53</xdr:row>
      <xdr:rowOff>92657</xdr:rowOff>
    </xdr:to>
    <xdr:pic>
      <xdr:nvPicPr>
        <xdr:cNvPr id="7" name="Picture 6" descr="screenshot of steps 3 and 4, showing that when you put a fertilizer amount in step 3, values in the table in step 4 change.&#10;The bottom 3 rows of the table in step 4 has the diagnostic values to understand when a nutrient is deficient">
          <a:extLst>
            <a:ext uri="{FF2B5EF4-FFF2-40B4-BE49-F238E27FC236}">
              <a16:creationId xmlns:a16="http://schemas.microsoft.com/office/drawing/2014/main" id="{31010D30-7AAF-56F3-77CF-503B622779E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0" y="12658725"/>
          <a:ext cx="6029325" cy="1529027"/>
        </a:xfrm>
        <a:prstGeom prst="rect">
          <a:avLst/>
        </a:prstGeom>
        <a:noFill/>
      </xdr:spPr>
    </xdr:pic>
    <xdr:clientData/>
  </xdr:twoCellAnchor>
  <xdr:twoCellAnchor editAs="oneCell">
    <xdr:from>
      <xdr:col>0</xdr:col>
      <xdr:colOff>1</xdr:colOff>
      <xdr:row>59</xdr:row>
      <xdr:rowOff>3809</xdr:rowOff>
    </xdr:from>
    <xdr:to>
      <xdr:col>9</xdr:col>
      <xdr:colOff>531653</xdr:colOff>
      <xdr:row>67</xdr:row>
      <xdr:rowOff>53340</xdr:rowOff>
    </xdr:to>
    <xdr:pic>
      <xdr:nvPicPr>
        <xdr:cNvPr id="8" name="Picture 7" descr="screenshot showing table in step 3 with fertilizers and values, these fertilizers and values show that none of the nutrients in the table in step 4 are deficient">
          <a:extLst>
            <a:ext uri="{FF2B5EF4-FFF2-40B4-BE49-F238E27FC236}">
              <a16:creationId xmlns:a16="http://schemas.microsoft.com/office/drawing/2014/main" id="{9B3E2747-65D0-F729-071F-800641D049E9}"/>
            </a:ext>
          </a:extLst>
        </xdr:cNvPr>
        <xdr:cNvPicPr>
          <a:picLocks noChangeAspect="1"/>
        </xdr:cNvPicPr>
      </xdr:nvPicPr>
      <xdr:blipFill>
        <a:blip xmlns:r="http://schemas.openxmlformats.org/officeDocument/2006/relationships" r:embed="rId7"/>
        <a:stretch>
          <a:fillRect/>
        </a:stretch>
      </xdr:blipFill>
      <xdr:spPr>
        <a:xfrm>
          <a:off x="1" y="18091784"/>
          <a:ext cx="6018052" cy="1491616"/>
        </a:xfrm>
        <a:prstGeom prst="rect">
          <a:avLst/>
        </a:prstGeom>
      </xdr:spPr>
    </xdr:pic>
    <xdr:clientData/>
  </xdr:twoCellAnchor>
  <xdr:twoCellAnchor editAs="oneCell">
    <xdr:from>
      <xdr:col>0</xdr:col>
      <xdr:colOff>0</xdr:colOff>
      <xdr:row>72</xdr:row>
      <xdr:rowOff>0</xdr:rowOff>
    </xdr:from>
    <xdr:to>
      <xdr:col>7</xdr:col>
      <xdr:colOff>155575</xdr:colOff>
      <xdr:row>80</xdr:row>
      <xdr:rowOff>94615</xdr:rowOff>
    </xdr:to>
    <xdr:pic>
      <xdr:nvPicPr>
        <xdr:cNvPr id="9" name="Picture 8" descr="A screenshot of a nutrient solution recipe when mixing fertilizers without an injector&#10;&#10;">
          <a:extLst>
            <a:ext uri="{FF2B5EF4-FFF2-40B4-BE49-F238E27FC236}">
              <a16:creationId xmlns:a16="http://schemas.microsoft.com/office/drawing/2014/main" id="{14AC93CD-EE24-7FED-E348-9A031BEEBA88}"/>
            </a:ext>
          </a:extLst>
        </xdr:cNvPr>
        <xdr:cNvPicPr>
          <a:picLocks noChangeAspect="1"/>
        </xdr:cNvPicPr>
      </xdr:nvPicPr>
      <xdr:blipFill>
        <a:blip xmlns:r="http://schemas.openxmlformats.org/officeDocument/2006/relationships" r:embed="rId8"/>
        <a:stretch>
          <a:fillRect/>
        </a:stretch>
      </xdr:blipFill>
      <xdr:spPr>
        <a:xfrm>
          <a:off x="0" y="22898100"/>
          <a:ext cx="4422775" cy="1553845"/>
        </a:xfrm>
        <a:prstGeom prst="rect">
          <a:avLst/>
        </a:prstGeom>
      </xdr:spPr>
    </xdr:pic>
    <xdr:clientData/>
  </xdr:twoCellAnchor>
  <xdr:twoCellAnchor editAs="oneCell">
    <xdr:from>
      <xdr:col>0</xdr:col>
      <xdr:colOff>28575</xdr:colOff>
      <xdr:row>82</xdr:row>
      <xdr:rowOff>0</xdr:rowOff>
    </xdr:from>
    <xdr:to>
      <xdr:col>7</xdr:col>
      <xdr:colOff>628650</xdr:colOff>
      <xdr:row>92</xdr:row>
      <xdr:rowOff>3175</xdr:rowOff>
    </xdr:to>
    <xdr:pic>
      <xdr:nvPicPr>
        <xdr:cNvPr id="10" name="Picture 9" descr="A screenshot of a nutrient solution recipe when mixing fertilizers using injectors at different injection rates&#10;&#10;&#10;">
          <a:extLst>
            <a:ext uri="{FF2B5EF4-FFF2-40B4-BE49-F238E27FC236}">
              <a16:creationId xmlns:a16="http://schemas.microsoft.com/office/drawing/2014/main" id="{86183D24-D6A3-317B-29B8-5A2033BE2F29}"/>
            </a:ext>
          </a:extLst>
        </xdr:cNvPr>
        <xdr:cNvPicPr>
          <a:picLocks noChangeAspect="1"/>
        </xdr:cNvPicPr>
      </xdr:nvPicPr>
      <xdr:blipFill>
        <a:blip xmlns:r="http://schemas.openxmlformats.org/officeDocument/2006/relationships" r:embed="rId9"/>
        <a:stretch>
          <a:fillRect/>
        </a:stretch>
      </xdr:blipFill>
      <xdr:spPr>
        <a:xfrm>
          <a:off x="28575" y="25479375"/>
          <a:ext cx="5055870" cy="1689100"/>
        </a:xfrm>
        <a:prstGeom prst="rect">
          <a:avLst/>
        </a:prstGeom>
      </xdr:spPr>
    </xdr:pic>
    <xdr:clientData/>
  </xdr:twoCellAnchor>
  <xdr:twoCellAnchor editAs="oneCell">
    <xdr:from>
      <xdr:col>0</xdr:col>
      <xdr:colOff>0</xdr:colOff>
      <xdr:row>93</xdr:row>
      <xdr:rowOff>0</xdr:rowOff>
    </xdr:from>
    <xdr:to>
      <xdr:col>9</xdr:col>
      <xdr:colOff>457200</xdr:colOff>
      <xdr:row>100</xdr:row>
      <xdr:rowOff>34925</xdr:rowOff>
    </xdr:to>
    <xdr:pic>
      <xdr:nvPicPr>
        <xdr:cNvPr id="11" name="Picture 10" descr="A screenshot of a table showing how much it cost to make 10 liters of nutrient solution calculated in previous steps&#10;&#10;">
          <a:extLst>
            <a:ext uri="{FF2B5EF4-FFF2-40B4-BE49-F238E27FC236}">
              <a16:creationId xmlns:a16="http://schemas.microsoft.com/office/drawing/2014/main" id="{A0100E45-C2B5-4E98-D363-7651656BC7FB}"/>
            </a:ext>
          </a:extLst>
        </xdr:cNvPr>
        <xdr:cNvPicPr>
          <a:picLocks noChangeAspect="1"/>
        </xdr:cNvPicPr>
      </xdr:nvPicPr>
      <xdr:blipFill>
        <a:blip xmlns:r="http://schemas.openxmlformats.org/officeDocument/2006/relationships" r:embed="rId10"/>
        <a:stretch>
          <a:fillRect/>
        </a:stretch>
      </xdr:blipFill>
      <xdr:spPr>
        <a:xfrm>
          <a:off x="0" y="28108275"/>
          <a:ext cx="5943600" cy="1181735"/>
        </a:xfrm>
        <a:prstGeom prst="rect">
          <a:avLst/>
        </a:prstGeom>
      </xdr:spPr>
    </xdr:pic>
    <xdr:clientData/>
  </xdr:twoCellAnchor>
  <xdr:twoCellAnchor editAs="oneCell">
    <xdr:from>
      <xdr:col>0</xdr:col>
      <xdr:colOff>476250</xdr:colOff>
      <xdr:row>105</xdr:row>
      <xdr:rowOff>28575</xdr:rowOff>
    </xdr:from>
    <xdr:to>
      <xdr:col>2</xdr:col>
      <xdr:colOff>231775</xdr:colOff>
      <xdr:row>117</xdr:row>
      <xdr:rowOff>130810</xdr:rowOff>
    </xdr:to>
    <xdr:pic>
      <xdr:nvPicPr>
        <xdr:cNvPr id="12" name="Picture 11" descr="A screenshot of a table containing the names of crops that can be selected in the calculator. There is an option to enter an additional crop in the cell with yellow background&#10;&#10;">
          <a:extLst>
            <a:ext uri="{FF2B5EF4-FFF2-40B4-BE49-F238E27FC236}">
              <a16:creationId xmlns:a16="http://schemas.microsoft.com/office/drawing/2014/main" id="{B4DCCFCD-B344-86DE-D7A2-693C75352894}"/>
            </a:ext>
          </a:extLst>
        </xdr:cNvPr>
        <xdr:cNvPicPr>
          <a:picLocks noChangeAspect="1"/>
        </xdr:cNvPicPr>
      </xdr:nvPicPr>
      <xdr:blipFill>
        <a:blip xmlns:r="http://schemas.openxmlformats.org/officeDocument/2006/relationships" r:embed="rId11"/>
        <a:stretch>
          <a:fillRect/>
        </a:stretch>
      </xdr:blipFill>
      <xdr:spPr>
        <a:xfrm>
          <a:off x="476250" y="31280100"/>
          <a:ext cx="974725" cy="2270125"/>
        </a:xfrm>
        <a:prstGeom prst="rect">
          <a:avLst/>
        </a:prstGeom>
      </xdr:spPr>
    </xdr:pic>
    <xdr:clientData/>
  </xdr:twoCellAnchor>
  <xdr:twoCellAnchor editAs="oneCell">
    <xdr:from>
      <xdr:col>0</xdr:col>
      <xdr:colOff>257175</xdr:colOff>
      <xdr:row>120</xdr:row>
      <xdr:rowOff>19050</xdr:rowOff>
    </xdr:from>
    <xdr:to>
      <xdr:col>7</xdr:col>
      <xdr:colOff>417830</xdr:colOff>
      <xdr:row>139</xdr:row>
      <xdr:rowOff>112395</xdr:rowOff>
    </xdr:to>
    <xdr:pic>
      <xdr:nvPicPr>
        <xdr:cNvPr id="13" name="Picture 12" descr="A screenshot showing where in the spreadsheet the user can add the requirements of a new crop (cells with yellow background)&#10;&#10;">
          <a:extLst>
            <a:ext uri="{FF2B5EF4-FFF2-40B4-BE49-F238E27FC236}">
              <a16:creationId xmlns:a16="http://schemas.microsoft.com/office/drawing/2014/main" id="{50B83C52-A9E7-F06F-F612-8957B5D46C3D}"/>
            </a:ext>
          </a:extLst>
        </xdr:cNvPr>
        <xdr:cNvPicPr>
          <a:picLocks noChangeAspect="1"/>
        </xdr:cNvPicPr>
      </xdr:nvPicPr>
      <xdr:blipFill>
        <a:blip xmlns:r="http://schemas.openxmlformats.org/officeDocument/2006/relationships" r:embed="rId12"/>
        <a:stretch>
          <a:fillRect/>
        </a:stretch>
      </xdr:blipFill>
      <xdr:spPr>
        <a:xfrm>
          <a:off x="257175" y="34309050"/>
          <a:ext cx="4427855" cy="3531870"/>
        </a:xfrm>
        <a:prstGeom prst="rect">
          <a:avLst/>
        </a:prstGeom>
      </xdr:spPr>
    </xdr:pic>
    <xdr:clientData/>
  </xdr:twoCellAnchor>
  <xdr:twoCellAnchor editAs="oneCell">
    <xdr:from>
      <xdr:col>0</xdr:col>
      <xdr:colOff>0</xdr:colOff>
      <xdr:row>145</xdr:row>
      <xdr:rowOff>0</xdr:rowOff>
    </xdr:from>
    <xdr:to>
      <xdr:col>9</xdr:col>
      <xdr:colOff>457200</xdr:colOff>
      <xdr:row>153</xdr:row>
      <xdr:rowOff>59055</xdr:rowOff>
    </xdr:to>
    <xdr:pic>
      <xdr:nvPicPr>
        <xdr:cNvPr id="14" name="Picture 13" descr="A screenshot of the location where the user can add new fertilizers to the spreadsheet (cells with yellow background)&#10;&#10;">
          <a:extLst>
            <a:ext uri="{FF2B5EF4-FFF2-40B4-BE49-F238E27FC236}">
              <a16:creationId xmlns:a16="http://schemas.microsoft.com/office/drawing/2014/main" id="{BFF9D890-18E2-D3F0-8618-98816317F083}"/>
            </a:ext>
          </a:extLst>
        </xdr:cNvPr>
        <xdr:cNvPicPr>
          <a:picLocks noChangeAspect="1"/>
        </xdr:cNvPicPr>
      </xdr:nvPicPr>
      <xdr:blipFill>
        <a:blip xmlns:r="http://schemas.openxmlformats.org/officeDocument/2006/relationships" r:embed="rId13"/>
        <a:stretch>
          <a:fillRect/>
        </a:stretch>
      </xdr:blipFill>
      <xdr:spPr>
        <a:xfrm>
          <a:off x="0" y="39443025"/>
          <a:ext cx="5943600" cy="1510665"/>
        </a:xfrm>
        <a:prstGeom prst="rect">
          <a:avLst/>
        </a:prstGeom>
      </xdr:spPr>
    </xdr:pic>
    <xdr:clientData/>
  </xdr:twoCellAnchor>
  <xdr:twoCellAnchor editAs="oneCell">
    <xdr:from>
      <xdr:col>0</xdr:col>
      <xdr:colOff>0</xdr:colOff>
      <xdr:row>156</xdr:row>
      <xdr:rowOff>0</xdr:rowOff>
    </xdr:from>
    <xdr:to>
      <xdr:col>9</xdr:col>
      <xdr:colOff>457200</xdr:colOff>
      <xdr:row>170</xdr:row>
      <xdr:rowOff>173355</xdr:rowOff>
    </xdr:to>
    <xdr:pic>
      <xdr:nvPicPr>
        <xdr:cNvPr id="15" name="Picture 14" descr="A screenshot showing where in the spreadsheet the user can find the sources of the nutrient solutions of different crops&#10;&#10;">
          <a:extLst>
            <a:ext uri="{FF2B5EF4-FFF2-40B4-BE49-F238E27FC236}">
              <a16:creationId xmlns:a16="http://schemas.microsoft.com/office/drawing/2014/main" id="{817EDE30-BCC6-1541-AFF3-05B1C66DB4DC}"/>
            </a:ext>
          </a:extLst>
        </xdr:cNvPr>
        <xdr:cNvPicPr>
          <a:picLocks noChangeAspect="1"/>
        </xdr:cNvPicPr>
      </xdr:nvPicPr>
      <xdr:blipFill>
        <a:blip xmlns:r="http://schemas.openxmlformats.org/officeDocument/2006/relationships" r:embed="rId14"/>
        <a:stretch>
          <a:fillRect/>
        </a:stretch>
      </xdr:blipFill>
      <xdr:spPr>
        <a:xfrm>
          <a:off x="0" y="41786175"/>
          <a:ext cx="5943600" cy="27108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35</xdr:col>
      <xdr:colOff>371768</xdr:colOff>
      <xdr:row>17</xdr:row>
      <xdr:rowOff>18465</xdr:rowOff>
    </xdr:from>
    <xdr:to>
      <xdr:col>37</xdr:col>
      <xdr:colOff>355503</xdr:colOff>
      <xdr:row>30</xdr:row>
      <xdr:rowOff>58615</xdr:rowOff>
    </xdr:to>
    <xdr:sp macro="" textlink="">
      <xdr:nvSpPr>
        <xdr:cNvPr id="2" name="TextBox 1">
          <a:extLst>
            <a:ext uri="{FF2B5EF4-FFF2-40B4-BE49-F238E27FC236}">
              <a16:creationId xmlns:a16="http://schemas.microsoft.com/office/drawing/2014/main" id="{F776C89D-C8B4-4AB3-AD17-1B7A04FD5538}"/>
            </a:ext>
          </a:extLst>
        </xdr:cNvPr>
        <xdr:cNvSpPr txBox="1"/>
      </xdr:nvSpPr>
      <xdr:spPr>
        <a:xfrm>
          <a:off x="25012210" y="3484100"/>
          <a:ext cx="2057255" cy="2611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Tomato stage 1: is the first stage-vegetative</a:t>
          </a:r>
          <a:r>
            <a:rPr lang="en-US" sz="1100" baseline="0"/>
            <a:t> from transplant to first cluster of flowers.</a:t>
          </a:r>
        </a:p>
        <a:p>
          <a:r>
            <a:rPr lang="en-US" sz="1100">
              <a:solidFill>
                <a:schemeClr val="dk1"/>
              </a:solidFill>
              <a:effectLst/>
              <a:latin typeface="+mn-lt"/>
              <a:ea typeface="+mn-ea"/>
              <a:cs typeface="+mn-cs"/>
            </a:rPr>
            <a:t>Tomato stage </a:t>
          </a:r>
          <a:r>
            <a:rPr lang="en-US" sz="1100" baseline="0"/>
            <a:t>2: is the second stage- from second cluster of flowers to fourth cluster.</a:t>
          </a:r>
        </a:p>
        <a:p>
          <a:r>
            <a:rPr lang="en-US" sz="1100">
              <a:solidFill>
                <a:schemeClr val="dk1"/>
              </a:solidFill>
              <a:effectLst/>
              <a:latin typeface="+mn-lt"/>
              <a:ea typeface="+mn-ea"/>
              <a:cs typeface="+mn-cs"/>
            </a:rPr>
            <a:t>Tomato stage </a:t>
          </a:r>
          <a:r>
            <a:rPr lang="en-US" sz="1100" baseline="0"/>
            <a:t>3: is the third stage-fruit ripening</a:t>
          </a:r>
          <a:endParaRPr lang="en-US" sz="1100"/>
        </a:p>
      </xdr:txBody>
    </xdr:sp>
    <xdr:clientData/>
  </xdr:twoCellAnchor>
  <xdr:twoCellAnchor>
    <xdr:from>
      <xdr:col>57</xdr:col>
      <xdr:colOff>210869</xdr:colOff>
      <xdr:row>29</xdr:row>
      <xdr:rowOff>49678</xdr:rowOff>
    </xdr:from>
    <xdr:to>
      <xdr:col>70</xdr:col>
      <xdr:colOff>1324267</xdr:colOff>
      <xdr:row>41</xdr:row>
      <xdr:rowOff>68037</xdr:rowOff>
    </xdr:to>
    <xdr:sp macro="" textlink="">
      <xdr:nvSpPr>
        <xdr:cNvPr id="3" name="TextBox 2">
          <a:extLst>
            <a:ext uri="{FF2B5EF4-FFF2-40B4-BE49-F238E27FC236}">
              <a16:creationId xmlns:a16="http://schemas.microsoft.com/office/drawing/2014/main" id="{9B0E353C-F309-4C6E-A987-B73F4A8D4487}"/>
            </a:ext>
          </a:extLst>
        </xdr:cNvPr>
        <xdr:cNvSpPr txBox="1"/>
      </xdr:nvSpPr>
      <xdr:spPr>
        <a:xfrm>
          <a:off x="40488012" y="5955178"/>
          <a:ext cx="15768291" cy="2889466"/>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CROP</a:t>
          </a:r>
          <a:r>
            <a:rPr lang="en-US" sz="1100" b="1" baseline="0"/>
            <a:t> REQUIREMENT SOURCES</a:t>
          </a:r>
          <a:endParaRPr lang="en-US" sz="1100" b="1"/>
        </a:p>
        <a:p>
          <a:r>
            <a:rPr lang="en-US" sz="1100"/>
            <a:t>-</a:t>
          </a:r>
          <a:r>
            <a:rPr lang="en-US" sz="1100" b="1"/>
            <a:t>Tomato</a:t>
          </a:r>
          <a:r>
            <a:rPr lang="en-US" sz="1100"/>
            <a:t> recommendations from</a:t>
          </a:r>
          <a:r>
            <a:rPr lang="en-US" sz="1100" baseline="0"/>
            <a:t> Dr. Merle Jensen - University of Arizona, except for Km N and K:N ratio which were provided by  Dr. Richard McAvoy - UConn. Available at https://ohioline.osu.edu/factsheet/hyg-1437 "Hydroponic Nutrient Solution for Optimized Greenhouse Tomato Production by Mark Kroggel and Chieri Kubota. Publication HYG-1437. Accessed 11/17/2025. Stage 1 vegetative state before flowering, Stage 2 when 1st cluster of flowers shows until signs of first fruit ripening, Stage 3 when fruit begins ripening.</a:t>
          </a:r>
        </a:p>
        <a:p>
          <a:r>
            <a:rPr lang="en-US" sz="1100" baseline="0"/>
            <a:t>-</a:t>
          </a:r>
          <a:r>
            <a:rPr lang="en-US" sz="1100" b="1" baseline="0"/>
            <a:t>Lettuce</a:t>
          </a:r>
          <a:r>
            <a:rPr lang="en-US" sz="1100" baseline="0"/>
            <a:t> Modified Sonneveld from Mattson N. &amp; Peters, C. "A Recipe for Hydroponic Success" http://hort.cornell.edu/greenhouse/crops/factsheets/hydroponic-recipes.pdf. </a:t>
          </a:r>
        </a:p>
        <a:p>
          <a:r>
            <a:rPr lang="en-US" sz="1100" baseline="0"/>
            <a:t>-</a:t>
          </a:r>
          <a:r>
            <a:rPr lang="en-US" sz="1100" b="1" baseline="0"/>
            <a:t>Basil</a:t>
          </a:r>
          <a:r>
            <a:rPr lang="en-US" sz="1100" baseline="0"/>
            <a:t> from e-Gro publication (nutritional monitoring series vol 1 No 14 April 2018). pH range 5.8 to 6.2: below pH iron toxicity and above pH iron deficiency. Magnesium critical for basil. Too much N promote excessive vegetative growth and lowers oil content by 28%. From Solis-Taopanta et al. 2020 </a:t>
          </a:r>
          <a:r>
            <a:rPr lang="en-US" sz="1100" u="sng">
              <a:solidFill>
                <a:schemeClr val="dk1"/>
              </a:solidFill>
              <a:effectLst/>
              <a:latin typeface="+mn-lt"/>
              <a:ea typeface="+mn-ea"/>
              <a:cs typeface="+mn-cs"/>
              <a:hlinkClick xmlns:r="http://schemas.openxmlformats.org/officeDocument/2006/relationships" r:id=""/>
            </a:rPr>
            <a:t>https://doi.org/10.21273/HORTSCI14727-19</a:t>
          </a:r>
          <a:r>
            <a:rPr lang="en-US" sz="1100">
              <a:solidFill>
                <a:schemeClr val="dk1"/>
              </a:solidFill>
              <a:effectLst/>
              <a:latin typeface="+mn-lt"/>
              <a:ea typeface="+mn-ea"/>
              <a:cs typeface="+mn-cs"/>
            </a:rPr>
            <a:t> took the P to Cl elements recommendations. Left</a:t>
          </a:r>
          <a:r>
            <a:rPr lang="en-US" sz="1100" baseline="0">
              <a:solidFill>
                <a:schemeClr val="dk1"/>
              </a:solidFill>
              <a:effectLst/>
              <a:latin typeface="+mn-lt"/>
              <a:ea typeface="+mn-ea"/>
              <a:cs typeface="+mn-cs"/>
            </a:rPr>
            <a:t> N at 150 according to the Egro article. Solis-Taopanta article suggested 178 ppm N but I don't want to risk lower oil content. </a:t>
          </a:r>
        </a:p>
        <a:p>
          <a:r>
            <a:rPr lang="en-US" sz="1100" b="1" baseline="0">
              <a:solidFill>
                <a:schemeClr val="dk1"/>
              </a:solidFill>
              <a:effectLst/>
              <a:latin typeface="+mn-lt"/>
              <a:ea typeface="+mn-ea"/>
              <a:cs typeface="+mn-cs"/>
            </a:rPr>
            <a:t>-Strawberry:</a:t>
          </a:r>
          <a:r>
            <a:rPr lang="en-US" sz="1100" baseline="0">
              <a:solidFill>
                <a:schemeClr val="dk1"/>
              </a:solidFill>
              <a:effectLst/>
              <a:latin typeface="+mn-lt"/>
              <a:ea typeface="+mn-ea"/>
              <a:cs typeface="+mn-cs"/>
            </a:rPr>
            <a:t> recommendations provided by Dr. Kubota - Ohio State University available at https://u.osu.edu/indoorberry/fertigation/  Accessed 08/20/2024</a:t>
          </a:r>
        </a:p>
        <a:p>
          <a:r>
            <a:rPr lang="en-US" sz="1100" b="1" baseline="0">
              <a:solidFill>
                <a:schemeClr val="dk1"/>
              </a:solidFill>
              <a:effectLst/>
              <a:latin typeface="+mn-lt"/>
              <a:ea typeface="+mn-ea"/>
              <a:cs typeface="+mn-cs"/>
            </a:rPr>
            <a:t>-Cucumber: </a:t>
          </a:r>
          <a:r>
            <a:rPr lang="en-US" sz="1100" baseline="0">
              <a:solidFill>
                <a:schemeClr val="dk1"/>
              </a:solidFill>
              <a:effectLst/>
              <a:latin typeface="+mn-lt"/>
              <a:ea typeface="+mn-ea"/>
              <a:cs typeface="+mn-cs"/>
            </a:rPr>
            <a:t>Recommendations provided by Dr. Rosa Raudales (K:N ratios) and Dr. Richard McAvoy (rest of nutrients). Specific K:N ratios from Dr.Raudales, R. 2019. e-Gro edible alert volume 4 number 4 February 2019. https://e-gro.org/pdf/E404.pdf Accessed 11/14/2025. With modifications: Nitrogen levels were calculated based on the recommended potassium levels and K:N ratios. Stage 1 recommends K to be at 325 mg/L which needs to be 1.8 times higher than N, therefore N would be 180 mg/L. Stage 1 vegetative starting at transplant until there are 6 leaves, Stage 2 after 6 leaves until heavy fruit load, Stage 3 when the plants are under heave fruiting.</a:t>
          </a:r>
        </a:p>
        <a:p>
          <a:r>
            <a:rPr lang="en-US" sz="1100" baseline="0">
              <a:solidFill>
                <a:schemeClr val="dk1"/>
              </a:solidFill>
              <a:effectLst/>
              <a:latin typeface="+mn-lt"/>
              <a:ea typeface="+mn-ea"/>
              <a:cs typeface="+mn-cs"/>
            </a:rPr>
            <a:t>-</a:t>
          </a:r>
          <a:r>
            <a:rPr lang="en-US" sz="1100" b="1" baseline="0">
              <a:solidFill>
                <a:schemeClr val="dk1"/>
              </a:solidFill>
              <a:effectLst/>
              <a:latin typeface="+mn-lt"/>
              <a:ea typeface="+mn-ea"/>
              <a:cs typeface="+mn-cs"/>
            </a:rPr>
            <a:t>Bell pepper:</a:t>
          </a:r>
          <a:r>
            <a:rPr lang="en-US" sz="1100" baseline="0">
              <a:solidFill>
                <a:schemeClr val="dk1"/>
              </a:solidFill>
              <a:effectLst/>
              <a:latin typeface="+mn-lt"/>
              <a:ea typeface="+mn-ea"/>
              <a:cs typeface="+mn-cs"/>
            </a:rPr>
            <a:t> </a:t>
          </a:r>
          <a:r>
            <a:rPr lang="en-US" sz="1100" i="0" baseline="0">
              <a:solidFill>
                <a:schemeClr val="dk1"/>
              </a:solidFill>
              <a:effectLst/>
              <a:latin typeface="+mn-lt"/>
              <a:ea typeface="+mn-ea"/>
              <a:cs typeface="+mn-cs"/>
            </a:rPr>
            <a:t>Nitrogen: Initial recommendation of 160 mg/L suggested in 199 by de Kreji et al. (1999). Recent research by Giuffrida &amp; Leonardi (2011) did not find difference in total yield and an increase in marketable yield when lowering N to 96 mg/L. Yasuor et al. (2013) observed the highest yields with 55 mg/L N (which where not statistically different from 100 mg/L N). Therefore the recommendation is kept at 100 mg/L N, and growers have the option to lower the recommendation to 55 mg/L N while evaluating the observed yields. Giuffrida &amp; Leonardi (2011) available at </a:t>
          </a:r>
          <a:r>
            <a:rPr lang="en-US" sz="1100" b="0" i="0" u="none" strike="noStrike">
              <a:solidFill>
                <a:schemeClr val="dk1"/>
              </a:solidFill>
              <a:effectLst/>
              <a:latin typeface="+mn-lt"/>
              <a:ea typeface="+mn-ea"/>
              <a:cs typeface="+mn-cs"/>
              <a:hlinkClick xmlns:r="http://schemas.openxmlformats.org/officeDocument/2006/relationships" r:id=""/>
            </a:rPr>
            <a:t>https://doi.org/10.1080/09064710.2011.560123</a:t>
          </a:r>
          <a:r>
            <a:rPr lang="en-US" sz="1100" b="0" i="0" u="none" strike="noStrike">
              <a:solidFill>
                <a:schemeClr val="dk1"/>
              </a:solidFill>
              <a:effectLst/>
              <a:latin typeface="+mn-lt"/>
              <a:ea typeface="+mn-ea"/>
              <a:cs typeface="+mn-cs"/>
            </a:rPr>
            <a:t> Accessed 11/18/2025. Yasuor et al. (2013)</a:t>
          </a:r>
          <a:r>
            <a:rPr lang="en-US" sz="1100" b="0" i="0" u="none" strike="noStrike" baseline="0">
              <a:solidFill>
                <a:schemeClr val="dk1"/>
              </a:solidFill>
              <a:effectLst/>
              <a:latin typeface="+mn-lt"/>
              <a:ea typeface="+mn-ea"/>
              <a:cs typeface="+mn-cs"/>
            </a:rPr>
            <a:t> available at https://doi.org/10.21273/HORTSCI.48.10.1241 Accessed 11/18/2025.</a:t>
          </a:r>
          <a:endParaRPr lang="en-US"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i="0" baseline="0">
              <a:solidFill>
                <a:schemeClr val="dk1"/>
              </a:solidFill>
              <a:effectLst/>
              <a:latin typeface="+mn-lt"/>
              <a:ea typeface="+mn-ea"/>
              <a:cs typeface="+mn-cs"/>
            </a:rPr>
            <a:t>Potassium recomendation based on observations by Marandulo et al. (2018) available at </a:t>
          </a:r>
          <a:r>
            <a:rPr lang="en-US" sz="1100" b="0" i="0">
              <a:solidFill>
                <a:schemeClr val="dk1"/>
              </a:solidFill>
              <a:effectLst/>
              <a:latin typeface="+mn-lt"/>
              <a:ea typeface="+mn-ea"/>
              <a:cs typeface="+mn-cs"/>
            </a:rPr>
            <a:t>https://doi.org/10.1080/01904167.2018.1463383 Accessed</a:t>
          </a:r>
          <a:r>
            <a:rPr lang="en-US" sz="1100" b="0" i="0" baseline="0">
              <a:solidFill>
                <a:schemeClr val="dk1"/>
              </a:solidFill>
              <a:effectLst/>
              <a:latin typeface="+mn-lt"/>
              <a:ea typeface="+mn-ea"/>
              <a:cs typeface="+mn-cs"/>
            </a:rPr>
            <a:t> 11/17/20205.</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Calcium and rest of nutrients based on observations by Roposkis et al. (2021) available at </a:t>
          </a:r>
          <a:r>
            <a:rPr lang="en-US" sz="1100" b="1" i="0">
              <a:solidFill>
                <a:schemeClr val="dk1"/>
              </a:solidFill>
              <a:effectLst/>
              <a:latin typeface="+mn-lt"/>
              <a:ea typeface="+mn-ea"/>
              <a:cs typeface="+mn-cs"/>
            </a:rPr>
            <a:t>https://doi.org/10.1002/jsfa.11074 </a:t>
          </a:r>
          <a:r>
            <a:rPr lang="en-US" sz="1100" b="0" i="0">
              <a:solidFill>
                <a:schemeClr val="dk1"/>
              </a:solidFill>
              <a:effectLst/>
              <a:latin typeface="+mn-lt"/>
              <a:ea typeface="+mn-ea"/>
              <a:cs typeface="+mn-cs"/>
            </a:rPr>
            <a:t>Accessed</a:t>
          </a:r>
          <a:r>
            <a:rPr lang="en-US" sz="1100" b="0" i="0" baseline="0">
              <a:solidFill>
                <a:schemeClr val="dk1"/>
              </a:solidFill>
              <a:effectLst/>
              <a:latin typeface="+mn-lt"/>
              <a:ea typeface="+mn-ea"/>
              <a:cs typeface="+mn-cs"/>
            </a:rPr>
            <a:t> 11/17/2025</a:t>
          </a:r>
          <a:endParaRPr lang="en-US" sz="1100" baseline="0"/>
        </a:p>
      </xdr:txBody>
    </xdr:sp>
    <xdr:clientData/>
  </xdr:twoCellAnchor>
  <xdr:twoCellAnchor editAs="oneCell">
    <xdr:from>
      <xdr:col>6</xdr:col>
      <xdr:colOff>410306</xdr:colOff>
      <xdr:row>5</xdr:row>
      <xdr:rowOff>57230</xdr:rowOff>
    </xdr:from>
    <xdr:to>
      <xdr:col>13</xdr:col>
      <xdr:colOff>40443</xdr:colOff>
      <xdr:row>18</xdr:row>
      <xdr:rowOff>135581</xdr:rowOff>
    </xdr:to>
    <xdr:pic>
      <xdr:nvPicPr>
        <xdr:cNvPr id="5" name="Picture 4">
          <a:extLst>
            <a:ext uri="{FF2B5EF4-FFF2-40B4-BE49-F238E27FC236}">
              <a16:creationId xmlns:a16="http://schemas.microsoft.com/office/drawing/2014/main" id="{49C53EAE-5BC2-35CB-AB15-F18CEBEBA28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36979" y="1310134"/>
          <a:ext cx="4062926" cy="24742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ailmissouri-my.sharepoint.com/personal/jcc6qh_umsystem_edu/Documents/Documents/Extension%20Publications/2025/Hydroponic%20nutrient%20solutions/Calculator%20coversheet.xlsx" TargetMode="External"/><Relationship Id="rId1" Type="http://schemas.openxmlformats.org/officeDocument/2006/relationships/externalLinkPath" Target="Calculator%20cover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eafy greens (DWC) (2)"/>
      <sheetName val="Introduction"/>
      <sheetName val="Crop cycles"/>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xtension.missouri.edu/publications/g6984"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2BE8B-E060-4E26-85EF-9822CDF5104B}">
  <dimension ref="A1:G17"/>
  <sheetViews>
    <sheetView showGridLines="0" tabSelected="1" workbookViewId="0">
      <selection activeCell="C9" sqref="C9:E9"/>
    </sheetView>
  </sheetViews>
  <sheetFormatPr defaultColWidth="0" defaultRowHeight="0" customHeight="1" zeroHeight="1" x14ac:dyDescent="0.3"/>
  <cols>
    <col min="1" max="1" width="4.7109375" style="119" customWidth="1"/>
    <col min="2" max="2" width="5.28515625" style="119" customWidth="1"/>
    <col min="3" max="3" width="17.85546875" style="119" customWidth="1"/>
    <col min="4" max="4" width="84.85546875" style="119" customWidth="1"/>
    <col min="5" max="5" width="17.85546875" style="119" customWidth="1"/>
    <col min="6" max="6" width="5.28515625" style="119" customWidth="1"/>
    <col min="7" max="7" width="10.28515625" style="119" customWidth="1"/>
    <col min="8" max="16384" width="10.28515625" style="119" hidden="1"/>
  </cols>
  <sheetData>
    <row r="1" spans="2:6" ht="16.5" x14ac:dyDescent="0.3"/>
    <row r="2" spans="2:6" ht="20.25" x14ac:dyDescent="0.35">
      <c r="B2" s="120"/>
      <c r="C2" s="121" t="s">
        <v>228</v>
      </c>
      <c r="D2" s="122"/>
      <c r="E2" s="123"/>
      <c r="F2" s="124"/>
    </row>
    <row r="3" spans="2:6" ht="16.5" x14ac:dyDescent="0.3">
      <c r="C3" s="125" t="s">
        <v>229</v>
      </c>
      <c r="D3" s="125"/>
      <c r="E3" s="125"/>
    </row>
    <row r="4" spans="2:6" ht="16.5" x14ac:dyDescent="0.3">
      <c r="C4" s="126"/>
      <c r="D4" s="126"/>
      <c r="E4" s="126"/>
    </row>
    <row r="5" spans="2:6" ht="16.5" x14ac:dyDescent="0.3">
      <c r="D5" s="127" t="s">
        <v>230</v>
      </c>
    </row>
    <row r="6" spans="2:6" ht="16.5" x14ac:dyDescent="0.3">
      <c r="D6" s="127" t="s">
        <v>235</v>
      </c>
    </row>
    <row r="7" spans="2:6" ht="16.5" x14ac:dyDescent="0.3">
      <c r="D7" s="127" t="s">
        <v>231</v>
      </c>
    </row>
    <row r="8" spans="2:6" ht="16.5" x14ac:dyDescent="0.3">
      <c r="D8" s="128"/>
    </row>
    <row r="9" spans="2:6" ht="58.5" customHeight="1" x14ac:dyDescent="0.3">
      <c r="C9" s="129" t="s">
        <v>232</v>
      </c>
      <c r="D9" s="129"/>
      <c r="E9" s="129"/>
    </row>
    <row r="10" spans="2:6" ht="13.5" customHeight="1" x14ac:dyDescent="0.3">
      <c r="C10" s="130"/>
      <c r="D10" s="130"/>
      <c r="E10" s="130"/>
    </row>
    <row r="11" spans="2:6" ht="29.25" customHeight="1" x14ac:dyDescent="0.3">
      <c r="C11" s="138" t="s">
        <v>234</v>
      </c>
      <c r="D11" s="138"/>
      <c r="E11" s="138"/>
    </row>
    <row r="12" spans="2:6" ht="18.75" customHeight="1" x14ac:dyDescent="0.3"/>
    <row r="13" spans="2:6" ht="16.5" x14ac:dyDescent="0.3">
      <c r="C13" s="131" t="s">
        <v>233</v>
      </c>
      <c r="D13" s="132"/>
      <c r="E13" s="133"/>
    </row>
    <row r="14" spans="2:6" ht="16.5" x14ac:dyDescent="0.3">
      <c r="C14" s="134"/>
      <c r="D14" s="134"/>
      <c r="E14" s="134"/>
    </row>
    <row r="15" spans="2:6" ht="16.5" x14ac:dyDescent="0.3"/>
    <row r="16" spans="2:6" ht="20.25" x14ac:dyDescent="0.35">
      <c r="B16" s="120"/>
      <c r="C16" s="135"/>
      <c r="D16" s="136"/>
      <c r="E16" s="137"/>
      <c r="F16" s="124"/>
    </row>
    <row r="17" ht="16.5" x14ac:dyDescent="0.3"/>
  </sheetData>
  <sheetProtection selectLockedCells="1" selectUnlockedCells="1"/>
  <mergeCells count="8">
    <mergeCell ref="C13:E13"/>
    <mergeCell ref="C16:E16"/>
    <mergeCell ref="C2:E2"/>
    <mergeCell ref="C3:E3"/>
    <mergeCell ref="C4:E4"/>
    <mergeCell ref="C9:E9"/>
    <mergeCell ref="C10:E10"/>
    <mergeCell ref="C11:E11"/>
  </mergeCells>
  <hyperlinks>
    <hyperlink ref="C11:E11" r:id="rId1" display="For more information, refer to MU Extension publication g6984 - Hydroponic Nutrient Solutions" xr:uid="{D854CD64-C430-4F2D-980A-74C64310734A}"/>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708F7-2764-4BC7-9701-A07A4B9218BE}">
  <sheetPr>
    <pageSetUpPr autoPageBreaks="0"/>
  </sheetPr>
  <dimension ref="A1:J156"/>
  <sheetViews>
    <sheetView showGridLines="0" zoomScale="145" zoomScaleNormal="145" zoomScaleSheetLayoutView="100" workbookViewId="0">
      <selection sqref="A1:J1"/>
    </sheetView>
  </sheetViews>
  <sheetFormatPr defaultRowHeight="15" x14ac:dyDescent="0.25"/>
  <sheetData>
    <row r="1" spans="1:10" ht="18.75" x14ac:dyDescent="0.25">
      <c r="A1" s="112" t="s">
        <v>189</v>
      </c>
      <c r="B1" s="112"/>
      <c r="C1" s="112"/>
      <c r="D1" s="112"/>
      <c r="E1" s="112"/>
      <c r="F1" s="112"/>
      <c r="G1" s="112"/>
      <c r="H1" s="112"/>
      <c r="I1" s="112"/>
      <c r="J1" s="112"/>
    </row>
    <row r="2" spans="1:10" ht="15.75" x14ac:dyDescent="0.25">
      <c r="A2" s="113" t="s">
        <v>190</v>
      </c>
      <c r="B2" s="113"/>
      <c r="C2" s="113"/>
      <c r="D2" s="113"/>
      <c r="E2" s="113"/>
      <c r="F2" s="113"/>
      <c r="G2" s="113"/>
      <c r="H2" s="113"/>
      <c r="I2" s="113"/>
      <c r="J2" s="113"/>
    </row>
    <row r="4" spans="1:10" ht="61.9" customHeight="1" thickBot="1" x14ac:dyDescent="0.3">
      <c r="A4" s="106" t="s">
        <v>191</v>
      </c>
      <c r="B4" s="106"/>
      <c r="C4" s="106"/>
      <c r="D4" s="106"/>
      <c r="E4" s="106"/>
      <c r="F4" s="106"/>
      <c r="G4" s="106"/>
      <c r="H4" s="106"/>
      <c r="I4" s="106"/>
      <c r="J4" s="106"/>
    </row>
    <row r="5" spans="1:10" ht="64.150000000000006" customHeight="1" thickBot="1" x14ac:dyDescent="0.3">
      <c r="A5" s="114" t="s">
        <v>193</v>
      </c>
      <c r="B5" s="115"/>
      <c r="C5" s="115"/>
      <c r="D5" s="115"/>
      <c r="E5" s="115"/>
      <c r="F5" s="115"/>
      <c r="G5" s="115"/>
      <c r="H5" s="115"/>
      <c r="I5" s="115"/>
      <c r="J5" s="116"/>
    </row>
    <row r="6" spans="1:10" ht="22.9" customHeight="1" x14ac:dyDescent="0.25">
      <c r="A6" s="117" t="s">
        <v>192</v>
      </c>
      <c r="B6" s="117"/>
      <c r="C6" s="117"/>
      <c r="D6" s="117"/>
      <c r="E6" s="117"/>
      <c r="F6" s="117"/>
      <c r="G6" s="117"/>
      <c r="H6" s="117"/>
      <c r="I6" s="117"/>
      <c r="J6" s="117"/>
    </row>
    <row r="10" spans="1:10" ht="52.9" customHeight="1" x14ac:dyDescent="0.25">
      <c r="A10" s="111" t="s">
        <v>194</v>
      </c>
      <c r="B10" s="111"/>
      <c r="C10" s="111"/>
      <c r="D10" s="111"/>
      <c r="E10" s="111"/>
      <c r="F10" s="111"/>
      <c r="G10" s="111"/>
      <c r="H10" s="111"/>
      <c r="I10" s="111"/>
      <c r="J10" s="111"/>
    </row>
    <row r="25" spans="1:10" ht="33" customHeight="1" x14ac:dyDescent="0.25">
      <c r="A25" s="107" t="s">
        <v>195</v>
      </c>
      <c r="B25" s="107"/>
      <c r="C25" s="107"/>
      <c r="D25" s="107"/>
      <c r="E25" s="107"/>
      <c r="F25" s="107"/>
      <c r="G25" s="107"/>
      <c r="H25" s="107"/>
      <c r="I25" s="107"/>
      <c r="J25" s="107"/>
    </row>
    <row r="27" spans="1:10" ht="48.6" customHeight="1" x14ac:dyDescent="0.25">
      <c r="A27" s="110" t="s">
        <v>196</v>
      </c>
      <c r="B27" s="103"/>
      <c r="C27" s="103"/>
      <c r="D27" s="103"/>
      <c r="E27" s="103"/>
      <c r="F27" s="103"/>
      <c r="G27" s="103"/>
      <c r="H27" s="103"/>
      <c r="I27" s="103"/>
      <c r="J27" s="103"/>
    </row>
    <row r="35" spans="1:10" ht="53.45" customHeight="1" x14ac:dyDescent="0.25">
      <c r="A35" s="111" t="s">
        <v>197</v>
      </c>
      <c r="B35" s="111"/>
      <c r="C35" s="111"/>
      <c r="D35" s="111"/>
      <c r="E35" s="111"/>
      <c r="F35" s="111"/>
      <c r="G35" s="111"/>
      <c r="H35" s="111"/>
      <c r="I35" s="111"/>
      <c r="J35" s="111"/>
    </row>
    <row r="42" spans="1:10" ht="35.450000000000003" customHeight="1" x14ac:dyDescent="0.25">
      <c r="A42" s="107" t="s">
        <v>198</v>
      </c>
      <c r="B42" s="107"/>
      <c r="C42" s="107"/>
      <c r="D42" s="107"/>
      <c r="E42" s="107"/>
      <c r="F42" s="107"/>
      <c r="G42" s="107"/>
      <c r="H42" s="107"/>
      <c r="I42" s="107"/>
      <c r="J42" s="107"/>
    </row>
    <row r="44" spans="1:10" ht="58.15" customHeight="1" x14ac:dyDescent="0.25">
      <c r="A44" s="103" t="s">
        <v>199</v>
      </c>
      <c r="B44" s="103"/>
      <c r="C44" s="103"/>
      <c r="D44" s="103"/>
      <c r="E44" s="103"/>
      <c r="F44" s="103"/>
      <c r="G44" s="103"/>
      <c r="H44" s="103"/>
      <c r="I44" s="103"/>
      <c r="J44" s="103"/>
    </row>
    <row r="45" spans="1:10" ht="49.9" customHeight="1" x14ac:dyDescent="0.25">
      <c r="A45" s="107" t="s">
        <v>200</v>
      </c>
      <c r="B45" s="107"/>
      <c r="C45" s="107"/>
      <c r="D45" s="107"/>
      <c r="E45" s="107"/>
      <c r="F45" s="107"/>
      <c r="G45" s="107"/>
      <c r="H45" s="107"/>
      <c r="I45" s="107"/>
      <c r="J45" s="107"/>
    </row>
    <row r="55" spans="1:10" ht="36" customHeight="1" x14ac:dyDescent="0.25">
      <c r="A55" s="106" t="s">
        <v>201</v>
      </c>
      <c r="B55" s="106"/>
      <c r="C55" s="106"/>
      <c r="D55" s="106"/>
      <c r="E55" s="106"/>
      <c r="F55" s="106"/>
      <c r="G55" s="106"/>
      <c r="H55" s="106"/>
      <c r="I55" s="106"/>
      <c r="J55" s="106"/>
    </row>
    <row r="56" spans="1:10" ht="66.599999999999994" customHeight="1" x14ac:dyDescent="0.25">
      <c r="A56" s="109" t="s">
        <v>204</v>
      </c>
      <c r="B56" s="109"/>
      <c r="C56" s="109"/>
      <c r="D56" s="109"/>
      <c r="E56" s="109"/>
      <c r="F56" s="109"/>
      <c r="G56" s="109"/>
      <c r="H56" s="109"/>
      <c r="I56" s="109"/>
      <c r="J56" s="109"/>
    </row>
    <row r="57" spans="1:10" ht="15.75" x14ac:dyDescent="0.25">
      <c r="A57" s="109" t="s">
        <v>202</v>
      </c>
      <c r="B57" s="109"/>
      <c r="C57" s="109"/>
      <c r="D57" s="109"/>
      <c r="E57" s="109"/>
      <c r="F57" s="109"/>
      <c r="G57" s="109"/>
      <c r="H57" s="109"/>
      <c r="I57" s="109"/>
      <c r="J57" s="109"/>
    </row>
    <row r="58" spans="1:10" ht="15.75" x14ac:dyDescent="0.25">
      <c r="A58" s="109" t="s">
        <v>203</v>
      </c>
      <c r="B58" s="109"/>
      <c r="C58" s="109"/>
      <c r="D58" s="109"/>
      <c r="E58" s="109"/>
      <c r="F58" s="109"/>
      <c r="G58" s="109"/>
      <c r="H58" s="109"/>
      <c r="I58" s="109"/>
      <c r="J58" s="109"/>
    </row>
    <row r="59" spans="1:10" ht="166.15" customHeight="1" x14ac:dyDescent="0.25">
      <c r="A59" s="108" t="s">
        <v>205</v>
      </c>
      <c r="B59" s="108"/>
      <c r="C59" s="108"/>
      <c r="D59" s="108"/>
      <c r="E59" s="108"/>
      <c r="F59" s="108"/>
      <c r="G59" s="108"/>
      <c r="H59" s="108"/>
      <c r="I59" s="108"/>
      <c r="J59" s="108"/>
    </row>
    <row r="69" spans="1:10" ht="94.9" customHeight="1" x14ac:dyDescent="0.25">
      <c r="A69" s="107" t="s">
        <v>206</v>
      </c>
      <c r="B69" s="107"/>
      <c r="C69" s="107"/>
      <c r="D69" s="107"/>
      <c r="E69" s="107"/>
      <c r="F69" s="107"/>
      <c r="G69" s="107"/>
      <c r="H69" s="107"/>
      <c r="I69" s="107"/>
      <c r="J69" s="107"/>
    </row>
    <row r="70" spans="1:10" ht="53.45" customHeight="1" x14ac:dyDescent="0.25">
      <c r="A70" s="107" t="s">
        <v>207</v>
      </c>
      <c r="B70" s="107"/>
      <c r="C70" s="107"/>
      <c r="D70" s="107"/>
      <c r="E70" s="107"/>
      <c r="F70" s="107"/>
      <c r="G70" s="107"/>
      <c r="H70" s="107"/>
      <c r="I70" s="107"/>
      <c r="J70" s="107"/>
    </row>
    <row r="71" spans="1:10" ht="15.75" x14ac:dyDescent="0.25">
      <c r="A71" s="94" t="s">
        <v>208</v>
      </c>
    </row>
    <row r="72" spans="1:10" ht="87" customHeight="1" x14ac:dyDescent="0.25">
      <c r="A72" s="108" t="s">
        <v>209</v>
      </c>
      <c r="B72" s="108"/>
      <c r="C72" s="108"/>
      <c r="D72" s="108"/>
      <c r="E72" s="108"/>
      <c r="F72" s="108"/>
      <c r="G72" s="108"/>
      <c r="H72" s="108"/>
      <c r="I72" s="108"/>
      <c r="J72" s="108"/>
    </row>
    <row r="82" spans="1:10" ht="82.9" customHeight="1" x14ac:dyDescent="0.25">
      <c r="A82" s="108" t="s">
        <v>210</v>
      </c>
      <c r="B82" s="108"/>
      <c r="C82" s="108"/>
      <c r="D82" s="108"/>
      <c r="E82" s="108"/>
      <c r="F82" s="108"/>
      <c r="G82" s="108"/>
      <c r="H82" s="108"/>
      <c r="I82" s="108"/>
      <c r="J82" s="108"/>
    </row>
    <row r="92" spans="1:10" ht="4.1500000000000004" customHeight="1" x14ac:dyDescent="0.25"/>
    <row r="93" spans="1:10" ht="51" customHeight="1" x14ac:dyDescent="0.25">
      <c r="A93" s="108" t="s">
        <v>211</v>
      </c>
      <c r="B93" s="108"/>
      <c r="C93" s="108"/>
      <c r="D93" s="108"/>
      <c r="E93" s="108"/>
      <c r="F93" s="108"/>
      <c r="G93" s="108"/>
      <c r="H93" s="108"/>
      <c r="I93" s="108"/>
      <c r="J93" s="108"/>
    </row>
    <row r="100" spans="1:10" ht="4.9000000000000004" customHeight="1" x14ac:dyDescent="0.25"/>
    <row r="101" spans="1:10" ht="15.75" x14ac:dyDescent="0.25">
      <c r="A101" s="94" t="s">
        <v>212</v>
      </c>
    </row>
    <row r="102" spans="1:10" ht="64.150000000000006" customHeight="1" x14ac:dyDescent="0.25">
      <c r="A102" s="106" t="s">
        <v>213</v>
      </c>
      <c r="B102" s="106"/>
      <c r="C102" s="106"/>
      <c r="D102" s="106"/>
      <c r="E102" s="106"/>
      <c r="F102" s="106"/>
      <c r="G102" s="106"/>
      <c r="H102" s="106"/>
      <c r="I102" s="106"/>
      <c r="J102" s="106"/>
    </row>
    <row r="103" spans="1:10" ht="15.75" x14ac:dyDescent="0.25">
      <c r="A103" s="95" t="s">
        <v>214</v>
      </c>
    </row>
    <row r="104" spans="1:10" ht="15.75" x14ac:dyDescent="0.25">
      <c r="A104" s="104" t="s">
        <v>215</v>
      </c>
      <c r="B104" s="104"/>
      <c r="C104" s="104"/>
      <c r="D104" s="104"/>
      <c r="E104" s="104"/>
      <c r="F104" s="104"/>
      <c r="G104" s="104"/>
      <c r="H104" s="104"/>
      <c r="I104" s="104"/>
      <c r="J104" s="104"/>
    </row>
    <row r="105" spans="1:10" ht="15.75" x14ac:dyDescent="0.25">
      <c r="A105" s="105" t="s">
        <v>216</v>
      </c>
      <c r="B105" s="105"/>
      <c r="C105" s="105"/>
      <c r="D105" s="105"/>
      <c r="E105" s="105"/>
      <c r="F105" s="105"/>
      <c r="G105" s="105"/>
      <c r="H105" s="105"/>
      <c r="I105" s="105"/>
      <c r="J105" s="105"/>
    </row>
    <row r="119" spans="1:10" ht="38.450000000000003" customHeight="1" x14ac:dyDescent="0.25">
      <c r="A119" s="105" t="s">
        <v>217</v>
      </c>
      <c r="B119" s="105"/>
      <c r="C119" s="105"/>
      <c r="D119" s="105"/>
      <c r="E119" s="105"/>
      <c r="F119" s="105"/>
      <c r="G119" s="105"/>
      <c r="H119" s="105"/>
      <c r="I119" s="105"/>
      <c r="J119" s="105"/>
    </row>
    <row r="120" spans="1:10" ht="15.75" x14ac:dyDescent="0.25">
      <c r="A120" s="105" t="s">
        <v>218</v>
      </c>
      <c r="B120" s="105"/>
      <c r="C120" s="105"/>
      <c r="D120" s="105"/>
      <c r="E120" s="105"/>
      <c r="F120" s="105"/>
      <c r="G120" s="105"/>
      <c r="H120" s="105"/>
      <c r="I120" s="105"/>
      <c r="J120" s="105"/>
    </row>
    <row r="141" spans="1:10" ht="15.75" x14ac:dyDescent="0.25">
      <c r="A141" s="104" t="s">
        <v>219</v>
      </c>
      <c r="B141" s="104"/>
      <c r="C141" s="104"/>
      <c r="D141" s="104"/>
      <c r="E141" s="104"/>
      <c r="F141" s="104"/>
      <c r="G141" s="104"/>
      <c r="H141" s="104"/>
      <c r="I141" s="104"/>
      <c r="J141" s="104"/>
    </row>
    <row r="142" spans="1:10" ht="15.75" x14ac:dyDescent="0.25">
      <c r="A142" s="95" t="s">
        <v>220</v>
      </c>
    </row>
    <row r="143" spans="1:10" ht="15.75" x14ac:dyDescent="0.25">
      <c r="A143" s="105" t="s">
        <v>221</v>
      </c>
      <c r="B143" s="105"/>
      <c r="C143" s="105"/>
      <c r="D143" s="105"/>
      <c r="E143" s="105"/>
      <c r="F143" s="105"/>
      <c r="G143" s="105"/>
      <c r="H143" s="105"/>
      <c r="I143" s="105"/>
      <c r="J143" s="105"/>
    </row>
    <row r="144" spans="1:10" ht="38.450000000000003" customHeight="1" x14ac:dyDescent="0.25">
      <c r="A144" s="105" t="s">
        <v>222</v>
      </c>
      <c r="B144" s="105"/>
      <c r="C144" s="105"/>
      <c r="D144" s="105"/>
      <c r="E144" s="105"/>
      <c r="F144" s="105"/>
      <c r="G144" s="105"/>
      <c r="H144" s="105"/>
      <c r="I144" s="105"/>
      <c r="J144" s="105"/>
    </row>
    <row r="145" spans="1:10" ht="35.450000000000003" customHeight="1" x14ac:dyDescent="0.25">
      <c r="A145" s="105" t="s">
        <v>223</v>
      </c>
      <c r="B145" s="105"/>
      <c r="C145" s="105"/>
      <c r="D145" s="105"/>
      <c r="E145" s="105"/>
      <c r="F145" s="105"/>
      <c r="G145" s="105"/>
      <c r="H145" s="105"/>
      <c r="I145" s="105"/>
      <c r="J145" s="105"/>
    </row>
    <row r="155" spans="1:10" ht="15.75" x14ac:dyDescent="0.25">
      <c r="A155" s="105" t="s">
        <v>224</v>
      </c>
      <c r="B155" s="105"/>
      <c r="C155" s="105"/>
      <c r="D155" s="105"/>
      <c r="E155" s="105"/>
      <c r="F155" s="105"/>
      <c r="G155" s="105"/>
      <c r="H155" s="105"/>
      <c r="I155" s="105"/>
      <c r="J155" s="105"/>
    </row>
    <row r="156" spans="1:10" ht="40.9" customHeight="1" x14ac:dyDescent="0.25">
      <c r="A156" s="103" t="s">
        <v>225</v>
      </c>
      <c r="B156" s="103"/>
      <c r="C156" s="103"/>
      <c r="D156" s="103"/>
      <c r="E156" s="103"/>
      <c r="F156" s="103"/>
      <c r="G156" s="103"/>
      <c r="H156" s="103"/>
      <c r="I156" s="103"/>
      <c r="J156" s="103"/>
    </row>
  </sheetData>
  <mergeCells count="33">
    <mergeCell ref="A25:J25"/>
    <mergeCell ref="A1:J1"/>
    <mergeCell ref="A2:J2"/>
    <mergeCell ref="A4:J4"/>
    <mergeCell ref="A5:J5"/>
    <mergeCell ref="A6:J6"/>
    <mergeCell ref="A10:J10"/>
    <mergeCell ref="A27:J27"/>
    <mergeCell ref="A35:J35"/>
    <mergeCell ref="A42:J42"/>
    <mergeCell ref="A44:J44"/>
    <mergeCell ref="A45:J45"/>
    <mergeCell ref="A55:J55"/>
    <mergeCell ref="A56:J56"/>
    <mergeCell ref="A57:J57"/>
    <mergeCell ref="A59:J59"/>
    <mergeCell ref="A58:J58"/>
    <mergeCell ref="A69:J69"/>
    <mergeCell ref="A70:J70"/>
    <mergeCell ref="A72:J72"/>
    <mergeCell ref="A82:J82"/>
    <mergeCell ref="A93:J93"/>
    <mergeCell ref="A102:J102"/>
    <mergeCell ref="A104:J104"/>
    <mergeCell ref="A105:J105"/>
    <mergeCell ref="A119:J119"/>
    <mergeCell ref="A120:J120"/>
    <mergeCell ref="A156:J156"/>
    <mergeCell ref="A141:J141"/>
    <mergeCell ref="A143:J143"/>
    <mergeCell ref="A144:J144"/>
    <mergeCell ref="A145:J145"/>
    <mergeCell ref="A155:J155"/>
  </mergeCells>
  <pageMargins left="0.7" right="0.7" top="0.75" bottom="0.75" header="0.3" footer="0.3"/>
  <pageSetup orientation="portrait" r:id="rId1"/>
  <rowBreaks count="1" manualBreakCount="1">
    <brk id="15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3049D-801C-4B7F-8EE0-5078C0E4EC37}">
  <dimension ref="B1:BS123"/>
  <sheetViews>
    <sheetView zoomScaleNormal="100" workbookViewId="0">
      <selection activeCell="B23" sqref="B23:B27"/>
    </sheetView>
  </sheetViews>
  <sheetFormatPr defaultRowHeight="15" x14ac:dyDescent="0.25"/>
  <cols>
    <col min="1" max="1" width="2.42578125" customWidth="1"/>
    <col min="2" max="2" width="20.140625" customWidth="1"/>
    <col min="3" max="3" width="18.5703125" customWidth="1"/>
    <col min="4" max="4" width="15.7109375" customWidth="1"/>
    <col min="5" max="5" width="11" customWidth="1"/>
    <col min="6" max="6" width="9.7109375" customWidth="1"/>
    <col min="8" max="8" width="8.85546875" customWidth="1"/>
    <col min="9" max="9" width="11.28515625" customWidth="1"/>
    <col min="10" max="10" width="8.85546875" customWidth="1"/>
    <col min="19" max="19" width="28.7109375" bestFit="1" customWidth="1"/>
    <col min="20" max="20" width="11" customWidth="1"/>
    <col min="37" max="37" width="21.28515625" customWidth="1"/>
    <col min="38" max="38" width="10.7109375" customWidth="1"/>
    <col min="39" max="39" width="16.7109375" customWidth="1"/>
    <col min="40" max="40" width="13" customWidth="1"/>
    <col min="43" max="43" width="9.42578125" bestFit="1" customWidth="1"/>
    <col min="56" max="56" width="12.28515625" customWidth="1"/>
    <col min="58" max="58" width="21.28515625" customWidth="1"/>
    <col min="59" max="65" width="15.5703125" customWidth="1"/>
    <col min="66" max="66" width="16" customWidth="1"/>
    <col min="67" max="67" width="15.5703125" customWidth="1"/>
    <col min="68" max="68" width="16.28515625" customWidth="1"/>
    <col min="69" max="69" width="17.7109375" customWidth="1"/>
    <col min="70" max="70" width="18.28515625" customWidth="1"/>
    <col min="71" max="71" width="19.7109375" customWidth="1"/>
  </cols>
  <sheetData>
    <row r="1" spans="2:71" ht="15.75" thickBot="1" x14ac:dyDescent="0.3">
      <c r="B1" s="1" t="s">
        <v>226</v>
      </c>
      <c r="AN1">
        <v>1</v>
      </c>
      <c r="AO1">
        <v>2</v>
      </c>
      <c r="AP1">
        <v>3</v>
      </c>
      <c r="AQ1">
        <v>4</v>
      </c>
      <c r="AR1">
        <v>5</v>
      </c>
      <c r="AS1">
        <v>6</v>
      </c>
      <c r="AT1">
        <v>7</v>
      </c>
      <c r="AU1">
        <v>8</v>
      </c>
      <c r="AV1">
        <v>9</v>
      </c>
      <c r="AW1">
        <v>10</v>
      </c>
      <c r="AX1">
        <v>11</v>
      </c>
      <c r="AY1">
        <v>12</v>
      </c>
      <c r="AZ1">
        <v>13</v>
      </c>
      <c r="BA1">
        <v>14</v>
      </c>
      <c r="BB1">
        <v>15</v>
      </c>
      <c r="BC1">
        <v>16</v>
      </c>
    </row>
    <row r="2" spans="2:71" ht="15.75" thickBot="1" x14ac:dyDescent="0.3">
      <c r="B2" s="96" t="s">
        <v>227</v>
      </c>
      <c r="C2" s="96"/>
      <c r="D2" s="96"/>
      <c r="E2" s="96"/>
      <c r="F2" s="96"/>
      <c r="G2" s="96"/>
      <c r="H2" s="96"/>
      <c r="I2" s="96"/>
      <c r="J2" s="96"/>
      <c r="K2" s="96"/>
      <c r="L2" s="96"/>
      <c r="M2" s="96"/>
      <c r="N2" s="96"/>
      <c r="O2" s="96"/>
      <c r="P2" s="96"/>
      <c r="Q2" s="1"/>
      <c r="AK2" s="12" t="s">
        <v>78</v>
      </c>
      <c r="AL2" s="12" t="s">
        <v>76</v>
      </c>
      <c r="AM2" t="s">
        <v>138</v>
      </c>
      <c r="AN2" s="32" t="s">
        <v>32</v>
      </c>
      <c r="AO2" s="33" t="s">
        <v>33</v>
      </c>
      <c r="AP2" s="33" t="s">
        <v>34</v>
      </c>
      <c r="AQ2" s="33" t="s">
        <v>35</v>
      </c>
      <c r="AR2" s="33" t="s">
        <v>36</v>
      </c>
      <c r="AS2" s="33" t="s">
        <v>37</v>
      </c>
      <c r="AT2" s="33" t="s">
        <v>38</v>
      </c>
      <c r="AU2" s="33" t="s">
        <v>39</v>
      </c>
      <c r="AV2" s="33" t="s">
        <v>40</v>
      </c>
      <c r="AW2" s="33" t="s">
        <v>41</v>
      </c>
      <c r="AX2" s="33" t="s">
        <v>42</v>
      </c>
      <c r="AY2" s="33" t="s">
        <v>43</v>
      </c>
      <c r="AZ2" s="33" t="s">
        <v>44</v>
      </c>
      <c r="BA2" s="33" t="s">
        <v>45</v>
      </c>
      <c r="BB2" s="33" t="s">
        <v>46</v>
      </c>
      <c r="BC2" s="34" t="s">
        <v>47</v>
      </c>
      <c r="BD2" s="34" t="s">
        <v>117</v>
      </c>
    </row>
    <row r="3" spans="2:71" ht="39.75" customHeight="1" x14ac:dyDescent="0.25">
      <c r="B3" s="88" t="s">
        <v>26</v>
      </c>
      <c r="C3" s="88" t="s">
        <v>52</v>
      </c>
      <c r="D3" s="88" t="s">
        <v>28</v>
      </c>
      <c r="E3" s="88" t="s">
        <v>27</v>
      </c>
      <c r="F3" s="88" t="s">
        <v>13</v>
      </c>
      <c r="G3" s="88" t="s">
        <v>5</v>
      </c>
      <c r="H3" s="88" t="s">
        <v>29</v>
      </c>
      <c r="I3" s="88" t="s">
        <v>30</v>
      </c>
      <c r="J3" s="88" t="s">
        <v>186</v>
      </c>
      <c r="K3" s="88" t="s">
        <v>53</v>
      </c>
      <c r="L3" s="88" t="s">
        <v>54</v>
      </c>
      <c r="M3" s="88" t="s">
        <v>55</v>
      </c>
      <c r="N3" s="88" t="s">
        <v>56</v>
      </c>
      <c r="O3" s="88" t="s">
        <v>57</v>
      </c>
      <c r="P3" s="88" t="s">
        <v>58</v>
      </c>
      <c r="Q3" s="97" t="s">
        <v>121</v>
      </c>
      <c r="R3" s="98" t="s">
        <v>68</v>
      </c>
      <c r="S3" s="99" t="s">
        <v>152</v>
      </c>
      <c r="AK3" t="s">
        <v>66</v>
      </c>
      <c r="AL3" t="s">
        <v>12</v>
      </c>
      <c r="AM3" t="s">
        <v>67</v>
      </c>
      <c r="AN3" s="35" t="s">
        <v>24</v>
      </c>
      <c r="AO3">
        <v>4</v>
      </c>
      <c r="AP3">
        <v>0</v>
      </c>
      <c r="AQ3">
        <v>0.5</v>
      </c>
      <c r="AR3">
        <v>3.5</v>
      </c>
      <c r="AS3">
        <v>18</v>
      </c>
      <c r="AT3">
        <v>38</v>
      </c>
      <c r="AU3">
        <v>0</v>
      </c>
      <c r="AV3">
        <v>0.5</v>
      </c>
      <c r="AW3">
        <v>0</v>
      </c>
      <c r="AX3">
        <v>0.2</v>
      </c>
      <c r="AY3">
        <v>0.05</v>
      </c>
      <c r="AZ3">
        <v>0.4</v>
      </c>
      <c r="BA3">
        <v>0.2</v>
      </c>
      <c r="BB3">
        <v>0.01</v>
      </c>
      <c r="BC3">
        <v>0.05</v>
      </c>
      <c r="BD3" s="36" t="s">
        <v>67</v>
      </c>
      <c r="BF3" s="39"/>
      <c r="BG3" s="40" t="s">
        <v>66</v>
      </c>
      <c r="BH3" s="40" t="s">
        <v>99</v>
      </c>
      <c r="BI3" s="40" t="s">
        <v>122</v>
      </c>
      <c r="BJ3" s="74" t="s">
        <v>168</v>
      </c>
      <c r="BK3" s="40" t="s">
        <v>105</v>
      </c>
      <c r="BL3" s="40" t="s">
        <v>106</v>
      </c>
      <c r="BM3" s="89" t="s">
        <v>187</v>
      </c>
      <c r="BN3" s="40" t="s">
        <v>83</v>
      </c>
      <c r="BO3" s="40" t="s">
        <v>84</v>
      </c>
      <c r="BP3" s="40" t="s">
        <v>85</v>
      </c>
      <c r="BQ3" s="40" t="s">
        <v>86</v>
      </c>
      <c r="BR3" s="40" t="s">
        <v>87</v>
      </c>
      <c r="BS3" s="41" t="s">
        <v>88</v>
      </c>
    </row>
    <row r="4" spans="2:71" x14ac:dyDescent="0.25">
      <c r="B4" s="5">
        <v>0</v>
      </c>
      <c r="C4" s="5">
        <v>0</v>
      </c>
      <c r="D4" s="5">
        <v>0</v>
      </c>
      <c r="E4" s="5">
        <v>0</v>
      </c>
      <c r="F4" s="5">
        <v>0</v>
      </c>
      <c r="G4" s="5">
        <v>0</v>
      </c>
      <c r="H4" s="5">
        <v>0</v>
      </c>
      <c r="I4" s="5">
        <v>0</v>
      </c>
      <c r="J4" s="5">
        <v>0</v>
      </c>
      <c r="K4" s="5">
        <v>0</v>
      </c>
      <c r="L4" s="5">
        <v>0</v>
      </c>
      <c r="M4" s="5">
        <v>0</v>
      </c>
      <c r="N4" s="5">
        <v>0</v>
      </c>
      <c r="O4" s="5">
        <v>0</v>
      </c>
      <c r="P4" s="5">
        <v>0</v>
      </c>
      <c r="Q4" s="5">
        <v>0</v>
      </c>
      <c r="R4" s="5">
        <v>0</v>
      </c>
      <c r="S4" s="5">
        <v>0</v>
      </c>
      <c r="AK4" t="s">
        <v>83</v>
      </c>
      <c r="AL4" t="s">
        <v>79</v>
      </c>
      <c r="AM4" t="s">
        <v>67</v>
      </c>
      <c r="AN4" s="35" t="s">
        <v>59</v>
      </c>
      <c r="AO4">
        <v>5</v>
      </c>
      <c r="AP4">
        <v>0</v>
      </c>
      <c r="AQ4">
        <v>0</v>
      </c>
      <c r="AR4">
        <v>0</v>
      </c>
      <c r="AS4">
        <v>11</v>
      </c>
      <c r="AT4">
        <v>26</v>
      </c>
      <c r="AU4">
        <v>0</v>
      </c>
      <c r="AV4">
        <v>3.1</v>
      </c>
      <c r="AW4">
        <v>4</v>
      </c>
      <c r="AX4">
        <v>0.05</v>
      </c>
      <c r="AY4">
        <v>1.4999999999999999E-2</v>
      </c>
      <c r="AZ4">
        <v>0.3</v>
      </c>
      <c r="BA4">
        <v>0.05</v>
      </c>
      <c r="BB4">
        <v>0.01</v>
      </c>
      <c r="BC4">
        <v>1.4999999999999999E-2</v>
      </c>
      <c r="BD4" s="36" t="s">
        <v>67</v>
      </c>
      <c r="BE4" s="66">
        <v>1</v>
      </c>
      <c r="BF4" s="42" t="s">
        <v>26</v>
      </c>
      <c r="BG4">
        <v>150</v>
      </c>
      <c r="BH4">
        <v>150</v>
      </c>
      <c r="BI4">
        <v>180</v>
      </c>
      <c r="BJ4" s="50"/>
      <c r="BK4">
        <v>77</v>
      </c>
      <c r="BL4">
        <v>121</v>
      </c>
      <c r="BM4">
        <v>100</v>
      </c>
      <c r="BN4">
        <v>145</v>
      </c>
      <c r="BO4">
        <v>195</v>
      </c>
      <c r="BP4">
        <v>205</v>
      </c>
      <c r="BQ4">
        <v>180</v>
      </c>
      <c r="BR4">
        <v>168</v>
      </c>
      <c r="BS4" s="36">
        <v>176</v>
      </c>
    </row>
    <row r="5" spans="2:71" x14ac:dyDescent="0.25">
      <c r="AK5" t="s">
        <v>84</v>
      </c>
      <c r="AM5" t="s">
        <v>140</v>
      </c>
      <c r="AN5" s="35" t="s">
        <v>141</v>
      </c>
      <c r="AO5">
        <v>20</v>
      </c>
      <c r="AP5">
        <v>0</v>
      </c>
      <c r="AQ5">
        <v>7.65</v>
      </c>
      <c r="AR5">
        <v>12.35</v>
      </c>
      <c r="AS5">
        <v>7</v>
      </c>
      <c r="AT5">
        <v>20</v>
      </c>
      <c r="AU5">
        <v>0</v>
      </c>
      <c r="AV5">
        <v>0.5</v>
      </c>
      <c r="AW5">
        <v>0</v>
      </c>
      <c r="AX5">
        <v>0.02</v>
      </c>
      <c r="AY5">
        <v>0.01</v>
      </c>
      <c r="AZ5">
        <v>9.5000000000000001E-2</v>
      </c>
      <c r="BA5">
        <v>4.4999999999999998E-2</v>
      </c>
      <c r="BB5">
        <v>0.01</v>
      </c>
      <c r="BC5">
        <v>1.6E-2</v>
      </c>
      <c r="BD5" s="36" t="s">
        <v>67</v>
      </c>
      <c r="BE5" s="66">
        <v>2</v>
      </c>
      <c r="BF5" s="42" t="s">
        <v>13</v>
      </c>
      <c r="BG5">
        <v>31</v>
      </c>
      <c r="BH5">
        <v>62.7</v>
      </c>
      <c r="BI5">
        <v>50</v>
      </c>
      <c r="BJ5" s="50"/>
      <c r="BK5">
        <v>15</v>
      </c>
      <c r="BL5">
        <v>30</v>
      </c>
      <c r="BM5">
        <v>34</v>
      </c>
      <c r="BN5">
        <v>47</v>
      </c>
      <c r="BO5">
        <v>47</v>
      </c>
      <c r="BP5">
        <v>47</v>
      </c>
      <c r="BQ5">
        <v>50</v>
      </c>
      <c r="BR5">
        <v>50</v>
      </c>
      <c r="BS5" s="36">
        <v>50</v>
      </c>
    </row>
    <row r="6" spans="2:71" x14ac:dyDescent="0.25">
      <c r="B6" s="1" t="s">
        <v>154</v>
      </c>
      <c r="AK6" t="s">
        <v>85</v>
      </c>
      <c r="AM6" t="s">
        <v>67</v>
      </c>
      <c r="AN6" s="35" t="s">
        <v>73</v>
      </c>
      <c r="AO6">
        <v>6</v>
      </c>
      <c r="AP6">
        <v>0</v>
      </c>
      <c r="AQ6">
        <v>0</v>
      </c>
      <c r="AR6">
        <v>6</v>
      </c>
      <c r="AS6">
        <v>11</v>
      </c>
      <c r="AT6">
        <v>31</v>
      </c>
      <c r="AU6">
        <v>0</v>
      </c>
      <c r="AV6">
        <v>3.2</v>
      </c>
      <c r="AW6">
        <v>0</v>
      </c>
      <c r="AX6">
        <v>2.7E-2</v>
      </c>
      <c r="AY6">
        <v>4.0000000000000001E-3</v>
      </c>
      <c r="AZ6">
        <v>0.3</v>
      </c>
      <c r="BA6">
        <v>0.06</v>
      </c>
      <c r="BB6">
        <v>8.9999999999999993E-3</v>
      </c>
      <c r="BC6">
        <v>0.02</v>
      </c>
      <c r="BD6" s="36" t="s">
        <v>67</v>
      </c>
      <c r="BE6" s="66">
        <v>3</v>
      </c>
      <c r="BF6" s="42" t="s">
        <v>5</v>
      </c>
      <c r="BG6">
        <v>210</v>
      </c>
      <c r="BH6">
        <v>301.8</v>
      </c>
      <c r="BI6">
        <v>198</v>
      </c>
      <c r="BJ6" s="50"/>
      <c r="BK6">
        <v>117</v>
      </c>
      <c r="BL6">
        <v>156</v>
      </c>
      <c r="BM6">
        <v>312</v>
      </c>
      <c r="BN6">
        <v>145</v>
      </c>
      <c r="BO6">
        <v>300</v>
      </c>
      <c r="BP6">
        <v>350</v>
      </c>
      <c r="BQ6">
        <v>325</v>
      </c>
      <c r="BR6">
        <v>338</v>
      </c>
      <c r="BS6" s="36">
        <v>370</v>
      </c>
    </row>
    <row r="7" spans="2:71" x14ac:dyDescent="0.25">
      <c r="B7" s="59" t="s">
        <v>77</v>
      </c>
      <c r="C7" s="15" t="s">
        <v>66</v>
      </c>
      <c r="AK7" t="s">
        <v>86</v>
      </c>
      <c r="AM7" t="s">
        <v>67</v>
      </c>
      <c r="AN7" s="35" t="s">
        <v>25</v>
      </c>
      <c r="AO7">
        <v>15.5</v>
      </c>
      <c r="AP7">
        <v>0</v>
      </c>
      <c r="AQ7">
        <v>1</v>
      </c>
      <c r="AR7">
        <v>14.5</v>
      </c>
      <c r="AS7">
        <v>0</v>
      </c>
      <c r="AT7">
        <v>0</v>
      </c>
      <c r="AU7">
        <v>19</v>
      </c>
      <c r="AV7">
        <v>0</v>
      </c>
      <c r="AW7">
        <v>0</v>
      </c>
      <c r="AX7">
        <v>0</v>
      </c>
      <c r="AY7">
        <v>0</v>
      </c>
      <c r="AZ7">
        <v>0</v>
      </c>
      <c r="BA7">
        <v>0</v>
      </c>
      <c r="BB7">
        <v>0</v>
      </c>
      <c r="BC7">
        <v>0</v>
      </c>
      <c r="BD7" s="36" t="s">
        <v>67</v>
      </c>
      <c r="BE7" s="66">
        <v>4</v>
      </c>
      <c r="BF7" s="42" t="s">
        <v>29</v>
      </c>
      <c r="BG7">
        <v>90</v>
      </c>
      <c r="BH7">
        <v>92.2</v>
      </c>
      <c r="BI7">
        <v>200</v>
      </c>
      <c r="BJ7" s="50"/>
      <c r="BK7">
        <v>40</v>
      </c>
      <c r="BL7">
        <v>86</v>
      </c>
      <c r="BM7">
        <v>60</v>
      </c>
      <c r="BN7">
        <v>144</v>
      </c>
      <c r="BO7">
        <v>160</v>
      </c>
      <c r="BP7">
        <v>200</v>
      </c>
      <c r="BQ7">
        <v>190</v>
      </c>
      <c r="BR7">
        <v>200</v>
      </c>
      <c r="BS7" s="36">
        <v>210</v>
      </c>
    </row>
    <row r="8" spans="2:71" ht="15" customHeight="1" x14ac:dyDescent="0.25">
      <c r="B8" s="59" t="s">
        <v>80</v>
      </c>
      <c r="C8" s="60" t="s">
        <v>12</v>
      </c>
      <c r="E8" t="s">
        <v>188</v>
      </c>
      <c r="AK8" t="s">
        <v>87</v>
      </c>
      <c r="AM8" t="s">
        <v>67</v>
      </c>
      <c r="AN8" s="35" t="s">
        <v>72</v>
      </c>
      <c r="AO8">
        <v>20</v>
      </c>
      <c r="AP8">
        <v>0</v>
      </c>
      <c r="AQ8">
        <v>8</v>
      </c>
      <c r="AR8">
        <v>12</v>
      </c>
      <c r="AS8">
        <v>10</v>
      </c>
      <c r="AT8">
        <v>20</v>
      </c>
      <c r="AU8">
        <v>0</v>
      </c>
      <c r="AV8">
        <v>0.15</v>
      </c>
      <c r="AW8">
        <v>0</v>
      </c>
      <c r="AX8">
        <v>0.02</v>
      </c>
      <c r="AY8">
        <v>0.05</v>
      </c>
      <c r="AZ8">
        <v>0.1</v>
      </c>
      <c r="BA8">
        <v>0.05</v>
      </c>
      <c r="BB8">
        <v>0.05</v>
      </c>
      <c r="BC8">
        <v>0.05</v>
      </c>
      <c r="BD8" s="36" t="s">
        <v>67</v>
      </c>
      <c r="BE8" s="66">
        <v>5</v>
      </c>
      <c r="BF8" s="42" t="s">
        <v>30</v>
      </c>
      <c r="BG8">
        <v>24</v>
      </c>
      <c r="BH8">
        <v>49.2</v>
      </c>
      <c r="BI8">
        <v>40</v>
      </c>
      <c r="BJ8" s="50"/>
      <c r="BK8">
        <v>12</v>
      </c>
      <c r="BL8">
        <v>22</v>
      </c>
      <c r="BM8">
        <v>26</v>
      </c>
      <c r="BN8">
        <v>60</v>
      </c>
      <c r="BO8">
        <v>60</v>
      </c>
      <c r="BP8">
        <v>60</v>
      </c>
      <c r="BQ8">
        <v>60</v>
      </c>
      <c r="BR8">
        <v>67.5</v>
      </c>
      <c r="BS8" s="36">
        <v>75</v>
      </c>
    </row>
    <row r="9" spans="2:71" ht="15" customHeight="1" x14ac:dyDescent="0.25">
      <c r="B9" s="59" t="s">
        <v>153</v>
      </c>
      <c r="C9" s="60">
        <v>10</v>
      </c>
      <c r="D9" s="54" t="str">
        <f>IF(C8="Metric","liter", "gallons")</f>
        <v>liter</v>
      </c>
      <c r="AK9" t="s">
        <v>88</v>
      </c>
      <c r="AM9" t="s">
        <v>67</v>
      </c>
      <c r="AN9" s="35" t="s">
        <v>74</v>
      </c>
      <c r="AO9">
        <v>0</v>
      </c>
      <c r="AP9">
        <v>0</v>
      </c>
      <c r="AQ9">
        <v>0</v>
      </c>
      <c r="AR9">
        <v>0</v>
      </c>
      <c r="AS9">
        <v>0</v>
      </c>
      <c r="AT9">
        <v>0</v>
      </c>
      <c r="AU9">
        <v>0</v>
      </c>
      <c r="AV9">
        <v>9.8000000000000007</v>
      </c>
      <c r="AW9">
        <v>12.9</v>
      </c>
      <c r="AX9">
        <v>0</v>
      </c>
      <c r="AY9">
        <v>0</v>
      </c>
      <c r="AZ9">
        <v>0</v>
      </c>
      <c r="BA9">
        <v>0</v>
      </c>
      <c r="BB9">
        <v>0</v>
      </c>
      <c r="BC9">
        <v>0</v>
      </c>
      <c r="BD9" s="36" t="s">
        <v>67</v>
      </c>
      <c r="BE9" s="66">
        <v>6</v>
      </c>
      <c r="BF9" s="42" t="s">
        <v>31</v>
      </c>
      <c r="BG9">
        <v>0</v>
      </c>
      <c r="BH9">
        <v>53.2</v>
      </c>
      <c r="BJ9" s="50"/>
      <c r="BK9">
        <v>16</v>
      </c>
      <c r="BL9">
        <v>11</v>
      </c>
      <c r="BM9">
        <v>22</v>
      </c>
      <c r="BN9">
        <v>10</v>
      </c>
      <c r="BO9">
        <v>10</v>
      </c>
      <c r="BP9">
        <v>10</v>
      </c>
      <c r="BQ9">
        <v>120</v>
      </c>
      <c r="BR9">
        <v>130</v>
      </c>
      <c r="BS9" s="36">
        <v>140</v>
      </c>
    </row>
    <row r="10" spans="2:71" x14ac:dyDescent="0.25">
      <c r="B10" s="59" t="s">
        <v>95</v>
      </c>
      <c r="C10" s="52"/>
      <c r="D10" t="str">
        <f>IF(AND(C10&lt;=HLOOKUP($C$7,BG24:BS26,2,FALSE),C10&gt;=HLOOKUP($C$7,BG24:BS26,3,FALSE)),"Optimal pH", "Warning - pH level is outside of normal range")</f>
        <v>Warning - pH level is outside of normal range</v>
      </c>
      <c r="AK10" s="73" t="s">
        <v>168</v>
      </c>
      <c r="AN10" s="35" t="s">
        <v>142</v>
      </c>
      <c r="AO10">
        <v>7</v>
      </c>
      <c r="AQ10">
        <v>0.5</v>
      </c>
      <c r="AR10">
        <v>6.5</v>
      </c>
      <c r="AS10">
        <v>14</v>
      </c>
      <c r="AT10">
        <v>36</v>
      </c>
      <c r="AU10">
        <v>0</v>
      </c>
      <c r="AV10">
        <v>1</v>
      </c>
      <c r="AW10">
        <v>0</v>
      </c>
      <c r="AX10">
        <v>0.2</v>
      </c>
      <c r="AY10">
        <v>0.04</v>
      </c>
      <c r="AZ10">
        <v>0.3</v>
      </c>
      <c r="BA10">
        <v>0.2</v>
      </c>
      <c r="BB10">
        <v>0</v>
      </c>
      <c r="BC10">
        <v>0.04</v>
      </c>
      <c r="BD10" s="36" t="s">
        <v>67</v>
      </c>
      <c r="BE10" s="66">
        <v>7</v>
      </c>
      <c r="BF10" s="42" t="s">
        <v>53</v>
      </c>
      <c r="BG10">
        <v>0.16</v>
      </c>
      <c r="BH10">
        <v>0.4</v>
      </c>
      <c r="BI10">
        <v>0.4</v>
      </c>
      <c r="BJ10" s="50"/>
      <c r="BK10">
        <v>0.34</v>
      </c>
      <c r="BL10">
        <v>0.34</v>
      </c>
      <c r="BM10">
        <v>0.27</v>
      </c>
      <c r="BN10">
        <v>0.4</v>
      </c>
      <c r="BO10">
        <v>0.4</v>
      </c>
      <c r="BP10">
        <v>0.4</v>
      </c>
      <c r="BQ10">
        <v>0.4</v>
      </c>
      <c r="BR10">
        <v>0.4</v>
      </c>
      <c r="BS10" s="36">
        <v>0.4</v>
      </c>
    </row>
    <row r="11" spans="2:71" x14ac:dyDescent="0.25">
      <c r="AK11" t="s">
        <v>187</v>
      </c>
      <c r="AM11" t="s">
        <v>67</v>
      </c>
      <c r="AN11" s="35" t="s">
        <v>100</v>
      </c>
      <c r="AO11">
        <v>14</v>
      </c>
      <c r="AP11">
        <v>0</v>
      </c>
      <c r="AQ11">
        <v>14</v>
      </c>
      <c r="AR11">
        <v>0</v>
      </c>
      <c r="AS11">
        <v>0</v>
      </c>
      <c r="AT11">
        <v>14</v>
      </c>
      <c r="AU11">
        <v>0</v>
      </c>
      <c r="AV11">
        <v>0</v>
      </c>
      <c r="AW11">
        <v>21</v>
      </c>
      <c r="AX11">
        <v>0</v>
      </c>
      <c r="AY11">
        <v>0</v>
      </c>
      <c r="AZ11">
        <v>0</v>
      </c>
      <c r="BA11">
        <v>0.2</v>
      </c>
      <c r="BB11">
        <v>0</v>
      </c>
      <c r="BC11">
        <v>0</v>
      </c>
      <c r="BD11" s="36" t="s">
        <v>67</v>
      </c>
      <c r="BE11" s="66">
        <v>8</v>
      </c>
      <c r="BF11" s="42" t="s">
        <v>54</v>
      </c>
      <c r="BG11">
        <v>0.02</v>
      </c>
      <c r="BH11">
        <v>0.2</v>
      </c>
      <c r="BI11">
        <v>0.06</v>
      </c>
      <c r="BJ11" s="50"/>
      <c r="BK11">
        <v>0.05</v>
      </c>
      <c r="BL11">
        <v>0.05</v>
      </c>
      <c r="BM11">
        <v>0.04</v>
      </c>
      <c r="BN11">
        <v>0.05</v>
      </c>
      <c r="BO11">
        <v>0.05</v>
      </c>
      <c r="BP11">
        <v>0.05</v>
      </c>
      <c r="BQ11">
        <v>0.05</v>
      </c>
      <c r="BR11">
        <v>0.05</v>
      </c>
      <c r="BS11" s="36">
        <v>0.05</v>
      </c>
    </row>
    <row r="12" spans="2:71" x14ac:dyDescent="0.25">
      <c r="B12" t="s">
        <v>155</v>
      </c>
      <c r="AK12" t="s">
        <v>99</v>
      </c>
      <c r="AM12" t="s">
        <v>67</v>
      </c>
      <c r="AN12" s="35" t="s">
        <v>98</v>
      </c>
      <c r="AO12">
        <v>5</v>
      </c>
      <c r="AP12">
        <v>0</v>
      </c>
      <c r="AQ12">
        <v>0</v>
      </c>
      <c r="AR12">
        <v>0</v>
      </c>
      <c r="AS12">
        <v>12</v>
      </c>
      <c r="AT12">
        <v>26</v>
      </c>
      <c r="AU12">
        <v>0</v>
      </c>
      <c r="AV12">
        <v>6</v>
      </c>
      <c r="AW12">
        <v>8.5</v>
      </c>
      <c r="AX12">
        <v>0.05</v>
      </c>
      <c r="AY12">
        <v>1.4999999999999999E-2</v>
      </c>
      <c r="AZ12">
        <v>0.3</v>
      </c>
      <c r="BA12">
        <v>0.05</v>
      </c>
      <c r="BB12">
        <v>1.9E-2</v>
      </c>
      <c r="BC12">
        <v>1.4999999999999999E-2</v>
      </c>
      <c r="BD12" s="36" t="s">
        <v>67</v>
      </c>
      <c r="BE12" s="66">
        <v>9</v>
      </c>
      <c r="BF12" s="42" t="s">
        <v>55</v>
      </c>
      <c r="BG12">
        <v>1</v>
      </c>
      <c r="BH12">
        <v>2.5</v>
      </c>
      <c r="BI12">
        <v>2</v>
      </c>
      <c r="BJ12" s="50"/>
      <c r="BK12">
        <v>2</v>
      </c>
      <c r="BL12">
        <v>2</v>
      </c>
      <c r="BM12">
        <v>0.84</v>
      </c>
      <c r="BN12">
        <v>2</v>
      </c>
      <c r="BO12">
        <v>2</v>
      </c>
      <c r="BP12">
        <v>2</v>
      </c>
      <c r="BQ12">
        <v>2</v>
      </c>
      <c r="BR12">
        <v>2</v>
      </c>
      <c r="BS12" s="36">
        <v>2</v>
      </c>
    </row>
    <row r="13" spans="2:71" x14ac:dyDescent="0.25">
      <c r="B13" s="62" t="s">
        <v>82</v>
      </c>
      <c r="C13" s="11" t="s">
        <v>2</v>
      </c>
      <c r="D13" s="11" t="s">
        <v>1</v>
      </c>
      <c r="E13" s="65" t="s">
        <v>4</v>
      </c>
      <c r="AK13" t="s">
        <v>105</v>
      </c>
      <c r="AM13" t="s">
        <v>67</v>
      </c>
      <c r="AN13" s="35" t="s">
        <v>103</v>
      </c>
      <c r="AO13">
        <v>12</v>
      </c>
      <c r="AP13">
        <v>0</v>
      </c>
      <c r="AQ13">
        <v>0</v>
      </c>
      <c r="AR13">
        <v>12</v>
      </c>
      <c r="AS13">
        <v>0</v>
      </c>
      <c r="AT13">
        <v>43</v>
      </c>
      <c r="AU13">
        <v>0</v>
      </c>
      <c r="AV13">
        <v>0.05</v>
      </c>
      <c r="AW13">
        <v>0</v>
      </c>
      <c r="AX13">
        <v>6.7999999999999996E-3</v>
      </c>
      <c r="AY13">
        <v>3.5999999999999999E-3</v>
      </c>
      <c r="AZ13">
        <v>0.05</v>
      </c>
      <c r="BA13">
        <v>3.0999999999999999E-3</v>
      </c>
      <c r="BB13">
        <v>8.9999999999999998E-4</v>
      </c>
      <c r="BC13">
        <v>2.5000000000000001E-3</v>
      </c>
      <c r="BD13" s="36" t="s">
        <v>67</v>
      </c>
      <c r="BE13" s="66">
        <v>10</v>
      </c>
      <c r="BF13" s="42" t="s">
        <v>56</v>
      </c>
      <c r="BG13">
        <v>0.25</v>
      </c>
      <c r="BH13">
        <v>0.5</v>
      </c>
      <c r="BI13">
        <v>0.6</v>
      </c>
      <c r="BJ13" s="50"/>
      <c r="BK13">
        <v>0.55000000000000004</v>
      </c>
      <c r="BL13">
        <v>0.55000000000000004</v>
      </c>
      <c r="BM13">
        <v>0.55000000000000004</v>
      </c>
      <c r="BN13">
        <v>0.55000000000000004</v>
      </c>
      <c r="BO13">
        <v>0.55000000000000004</v>
      </c>
      <c r="BP13">
        <v>0.55000000000000004</v>
      </c>
      <c r="BQ13">
        <v>0.55000000000000004</v>
      </c>
      <c r="BR13">
        <v>0.55000000000000004</v>
      </c>
      <c r="BS13" s="36">
        <v>0.55000000000000004</v>
      </c>
    </row>
    <row r="14" spans="2:71" x14ac:dyDescent="0.25">
      <c r="B14" s="17" t="s">
        <v>171</v>
      </c>
      <c r="C14" s="16"/>
      <c r="D14" s="64" t="str">
        <f>IF(C8="Metric","grams","pounds")</f>
        <v>grams</v>
      </c>
      <c r="E14" s="67">
        <f>(C14*1000)/$C$9</f>
        <v>0</v>
      </c>
      <c r="AK14" t="s">
        <v>106</v>
      </c>
      <c r="AM14" t="s">
        <v>67</v>
      </c>
      <c r="AN14" s="35" t="s">
        <v>137</v>
      </c>
      <c r="AO14">
        <v>13</v>
      </c>
      <c r="AP14">
        <v>0</v>
      </c>
      <c r="AQ14">
        <v>0.68</v>
      </c>
      <c r="AR14">
        <v>12.32</v>
      </c>
      <c r="AS14">
        <v>2</v>
      </c>
      <c r="AT14">
        <v>13</v>
      </c>
      <c r="AU14">
        <v>6</v>
      </c>
      <c r="AV14">
        <v>3</v>
      </c>
      <c r="AW14">
        <v>0</v>
      </c>
      <c r="AX14">
        <v>1.4999999999999999E-2</v>
      </c>
      <c r="AY14">
        <v>0.02</v>
      </c>
      <c r="AZ14">
        <v>0.1</v>
      </c>
      <c r="BA14">
        <v>0.04</v>
      </c>
      <c r="BB14">
        <v>0.01</v>
      </c>
      <c r="BC14">
        <v>0.02</v>
      </c>
      <c r="BD14" s="36" t="s">
        <v>67</v>
      </c>
      <c r="BE14" s="66">
        <v>11</v>
      </c>
      <c r="BF14" s="42" t="s">
        <v>57</v>
      </c>
      <c r="BG14">
        <v>0.02</v>
      </c>
      <c r="BH14">
        <v>0.06</v>
      </c>
      <c r="BI14">
        <v>0.06</v>
      </c>
      <c r="BJ14" s="50"/>
      <c r="BK14">
        <v>0.05</v>
      </c>
      <c r="BL14">
        <v>0.05</v>
      </c>
      <c r="BM14">
        <v>0.05</v>
      </c>
      <c r="BN14">
        <v>0.05</v>
      </c>
      <c r="BO14">
        <v>0.05</v>
      </c>
      <c r="BP14">
        <v>0.05</v>
      </c>
      <c r="BQ14">
        <v>0.05</v>
      </c>
      <c r="BR14">
        <v>0.05</v>
      </c>
      <c r="BS14" s="36">
        <v>0.05</v>
      </c>
    </row>
    <row r="15" spans="2:71" x14ac:dyDescent="0.25">
      <c r="B15" s="17" t="s">
        <v>171</v>
      </c>
      <c r="C15" s="16"/>
      <c r="D15" s="64" t="str">
        <f>D14</f>
        <v>grams</v>
      </c>
      <c r="E15" s="67">
        <f>(C15*1000)/$C$9</f>
        <v>0</v>
      </c>
      <c r="AK15" t="s">
        <v>122</v>
      </c>
      <c r="AM15" t="s">
        <v>67</v>
      </c>
      <c r="AN15" s="35" t="s">
        <v>139</v>
      </c>
      <c r="AO15">
        <v>21</v>
      </c>
      <c r="AP15">
        <v>0</v>
      </c>
      <c r="AQ15">
        <v>7.61</v>
      </c>
      <c r="AR15">
        <v>13.39</v>
      </c>
      <c r="AS15">
        <v>6</v>
      </c>
      <c r="AT15">
        <v>21</v>
      </c>
      <c r="AU15">
        <v>0</v>
      </c>
      <c r="AV15">
        <v>0.65</v>
      </c>
      <c r="AW15">
        <v>0</v>
      </c>
      <c r="AX15">
        <v>0.02</v>
      </c>
      <c r="AY15">
        <v>0.02</v>
      </c>
      <c r="AZ15">
        <v>9.5000000000000001E-2</v>
      </c>
      <c r="BA15">
        <v>4.8000000000000001E-2</v>
      </c>
      <c r="BB15">
        <v>0.01</v>
      </c>
      <c r="BC15">
        <v>0.05</v>
      </c>
      <c r="BD15" s="36"/>
      <c r="BE15" s="66">
        <v>12</v>
      </c>
      <c r="BF15" s="42" t="s">
        <v>58</v>
      </c>
      <c r="BG15">
        <v>0.13</v>
      </c>
      <c r="BH15">
        <v>0.3</v>
      </c>
      <c r="BI15">
        <v>0.4</v>
      </c>
      <c r="BJ15" s="50"/>
      <c r="BK15">
        <v>0.33</v>
      </c>
      <c r="BL15">
        <v>0.33</v>
      </c>
      <c r="BM15">
        <v>0.26</v>
      </c>
      <c r="BN15">
        <v>0.33</v>
      </c>
      <c r="BO15">
        <v>0.33</v>
      </c>
      <c r="BP15">
        <v>0.33</v>
      </c>
      <c r="BQ15">
        <v>0.33</v>
      </c>
      <c r="BR15">
        <v>0.33</v>
      </c>
      <c r="BS15" s="36">
        <v>0.33</v>
      </c>
    </row>
    <row r="16" spans="2:71" x14ac:dyDescent="0.25">
      <c r="B16" s="17" t="s">
        <v>171</v>
      </c>
      <c r="C16" s="16"/>
      <c r="D16" s="64" t="str">
        <f>D14</f>
        <v>grams</v>
      </c>
      <c r="E16" s="67">
        <f>(C16*1000)/$C$9</f>
        <v>0</v>
      </c>
      <c r="AM16" t="s">
        <v>67</v>
      </c>
      <c r="AN16" s="35" t="s">
        <v>104</v>
      </c>
      <c r="AO16">
        <v>9</v>
      </c>
      <c r="AP16">
        <v>0</v>
      </c>
      <c r="AQ16">
        <v>0</v>
      </c>
      <c r="AR16">
        <v>9</v>
      </c>
      <c r="AS16">
        <v>12</v>
      </c>
      <c r="AT16">
        <v>34</v>
      </c>
      <c r="AU16">
        <v>0</v>
      </c>
      <c r="AV16">
        <v>0.5</v>
      </c>
      <c r="AW16">
        <v>0</v>
      </c>
      <c r="AX16">
        <v>0.08</v>
      </c>
      <c r="AY16">
        <v>0.05</v>
      </c>
      <c r="AZ16">
        <v>0.4</v>
      </c>
      <c r="BA16">
        <v>0</v>
      </c>
      <c r="BB16">
        <v>8.0000000000000002E-3</v>
      </c>
      <c r="BC16">
        <v>0.03</v>
      </c>
      <c r="BD16" s="36" t="s">
        <v>67</v>
      </c>
      <c r="BE16" s="66">
        <v>13</v>
      </c>
      <c r="BF16" s="42" t="s">
        <v>92</v>
      </c>
      <c r="BG16" t="s">
        <v>67</v>
      </c>
      <c r="BH16" t="s">
        <v>67</v>
      </c>
      <c r="BI16" t="s">
        <v>67</v>
      </c>
      <c r="BJ16" s="50"/>
      <c r="BK16" t="s">
        <v>67</v>
      </c>
      <c r="BL16" t="s">
        <v>67</v>
      </c>
      <c r="BM16" t="s">
        <v>67</v>
      </c>
      <c r="BN16" s="22">
        <f t="shared" ref="BN16:BS16" si="0">BN6/BN4</f>
        <v>1</v>
      </c>
      <c r="BO16" s="22">
        <f t="shared" si="0"/>
        <v>1.5384615384615385</v>
      </c>
      <c r="BP16" s="22">
        <f t="shared" si="0"/>
        <v>1.7073170731707317</v>
      </c>
      <c r="BQ16" s="22">
        <f t="shared" si="0"/>
        <v>1.8055555555555556</v>
      </c>
      <c r="BR16" s="22">
        <f t="shared" si="0"/>
        <v>2.0119047619047619</v>
      </c>
      <c r="BS16" s="43">
        <f t="shared" si="0"/>
        <v>2.1022727272727271</v>
      </c>
    </row>
    <row r="17" spans="2:71" x14ac:dyDescent="0.25">
      <c r="B17" s="17" t="s">
        <v>171</v>
      </c>
      <c r="C17" s="16"/>
      <c r="D17" s="64" t="str">
        <f>D15</f>
        <v>grams</v>
      </c>
      <c r="E17" s="67">
        <f>(C17*1000)/$C$9</f>
        <v>0</v>
      </c>
      <c r="AM17" t="s">
        <v>67</v>
      </c>
      <c r="AN17" s="35" t="s">
        <v>107</v>
      </c>
      <c r="AO17">
        <v>8</v>
      </c>
      <c r="AS17">
        <v>10</v>
      </c>
      <c r="AT17">
        <v>26</v>
      </c>
      <c r="BD17" s="36" t="s">
        <v>67</v>
      </c>
      <c r="BE17" s="66"/>
      <c r="BF17" s="42"/>
      <c r="BK17" s="22"/>
      <c r="BL17" s="22"/>
      <c r="BM17" s="22"/>
      <c r="BN17" s="22"/>
      <c r="BO17" s="22"/>
      <c r="BP17" s="22"/>
      <c r="BQ17" s="22"/>
      <c r="BR17" s="22"/>
      <c r="BS17" s="43"/>
    </row>
    <row r="18" spans="2:71" x14ac:dyDescent="0.25">
      <c r="B18" s="17" t="s">
        <v>171</v>
      </c>
      <c r="C18" s="16"/>
      <c r="D18" s="64" t="str">
        <f>D17</f>
        <v>grams</v>
      </c>
      <c r="E18" s="67">
        <f>(C18*1000)/$C$9</f>
        <v>0</v>
      </c>
      <c r="AM18" t="s">
        <v>110</v>
      </c>
      <c r="AN18" s="35" t="s">
        <v>109</v>
      </c>
      <c r="AO18">
        <v>14</v>
      </c>
      <c r="AP18">
        <v>0</v>
      </c>
      <c r="AQ18">
        <v>0</v>
      </c>
      <c r="AR18">
        <v>0</v>
      </c>
      <c r="AS18">
        <v>0</v>
      </c>
      <c r="AT18">
        <v>0</v>
      </c>
      <c r="AU18">
        <v>0</v>
      </c>
      <c r="AV18">
        <v>0</v>
      </c>
      <c r="AW18">
        <v>0</v>
      </c>
      <c r="AX18">
        <v>0</v>
      </c>
      <c r="AY18">
        <v>0</v>
      </c>
      <c r="AZ18">
        <v>0</v>
      </c>
      <c r="BA18">
        <v>0</v>
      </c>
      <c r="BB18">
        <v>0</v>
      </c>
      <c r="BC18">
        <v>0</v>
      </c>
      <c r="BD18" s="36" t="s">
        <v>67</v>
      </c>
      <c r="BE18" s="66"/>
      <c r="BF18" s="42" t="s">
        <v>90</v>
      </c>
      <c r="BG18" t="s">
        <v>67</v>
      </c>
      <c r="BH18" t="s">
        <v>67</v>
      </c>
      <c r="BJ18" s="50"/>
      <c r="BK18" t="s">
        <v>67</v>
      </c>
      <c r="BL18" t="s">
        <v>67</v>
      </c>
      <c r="BM18" t="s">
        <v>67</v>
      </c>
      <c r="BN18" s="9">
        <f t="shared" ref="BN18:BS18" si="1">BN16+0.05</f>
        <v>1.05</v>
      </c>
      <c r="BO18" s="9">
        <f t="shared" si="1"/>
        <v>1.5884615384615386</v>
      </c>
      <c r="BP18" s="9">
        <f t="shared" si="1"/>
        <v>1.7573170731707317</v>
      </c>
      <c r="BQ18" s="9">
        <f t="shared" si="1"/>
        <v>1.8555555555555556</v>
      </c>
      <c r="BR18" s="9">
        <f t="shared" si="1"/>
        <v>2.0619047619047617</v>
      </c>
      <c r="BS18" s="44">
        <f t="shared" si="1"/>
        <v>2.1522727272727269</v>
      </c>
    </row>
    <row r="19" spans="2:71" x14ac:dyDescent="0.25">
      <c r="B19" s="18"/>
      <c r="C19" s="19"/>
      <c r="W19" s="31">
        <f>IF(HLOOKUP($C$7,$BG$3:$BS$22,14,FALSE)=0, "",HLOOKUP($C$7,$BG$3:$BS$22,15,FALSE))</f>
        <v>0</v>
      </c>
      <c r="X19" s="31" t="str">
        <f>IF(HLOOKUP($C$7,$BG$3:$BS$22,14,FALSE)=0, "",HLOOKUP($C$7,$BG$3:$BS$22,16,FALSE))</f>
        <v>NA</v>
      </c>
      <c r="AM19" t="s">
        <v>132</v>
      </c>
      <c r="AN19" s="35" t="s">
        <v>131</v>
      </c>
      <c r="AO19">
        <v>21</v>
      </c>
      <c r="AP19">
        <v>0</v>
      </c>
      <c r="AQ19">
        <v>21</v>
      </c>
      <c r="AR19">
        <v>0</v>
      </c>
      <c r="AS19">
        <v>0</v>
      </c>
      <c r="AT19">
        <v>0</v>
      </c>
      <c r="AU19">
        <v>0</v>
      </c>
      <c r="AV19">
        <v>0</v>
      </c>
      <c r="AW19">
        <v>24</v>
      </c>
      <c r="AX19">
        <v>0</v>
      </c>
      <c r="AY19">
        <v>0</v>
      </c>
      <c r="AZ19">
        <v>0</v>
      </c>
      <c r="BA19">
        <v>0</v>
      </c>
      <c r="BC19">
        <v>0</v>
      </c>
      <c r="BD19" s="36" t="s">
        <v>67</v>
      </c>
      <c r="BE19" s="66"/>
      <c r="BF19" s="42" t="s">
        <v>91</v>
      </c>
      <c r="BG19" t="s">
        <v>67</v>
      </c>
      <c r="BH19" t="s">
        <v>67</v>
      </c>
      <c r="BJ19" s="50"/>
      <c r="BK19" t="s">
        <v>67</v>
      </c>
      <c r="BL19" t="s">
        <v>67</v>
      </c>
      <c r="BM19" t="s">
        <v>67</v>
      </c>
      <c r="BN19" s="9">
        <f t="shared" ref="BN19:BS19" si="2">BN16-0.05</f>
        <v>0.95</v>
      </c>
      <c r="BO19" s="9">
        <f t="shared" si="2"/>
        <v>1.4884615384615385</v>
      </c>
      <c r="BP19" s="9">
        <f t="shared" si="2"/>
        <v>1.6573170731707316</v>
      </c>
      <c r="BQ19" s="9">
        <f t="shared" si="2"/>
        <v>1.7555555555555555</v>
      </c>
      <c r="BR19" s="9">
        <f t="shared" si="2"/>
        <v>1.9619047619047618</v>
      </c>
      <c r="BS19" s="44">
        <f t="shared" si="2"/>
        <v>2.0522727272727272</v>
      </c>
    </row>
    <row r="20" spans="2:71" x14ac:dyDescent="0.25">
      <c r="B20" s="61" t="s">
        <v>156</v>
      </c>
      <c r="C20" s="19"/>
      <c r="AM20" t="s">
        <v>133</v>
      </c>
      <c r="AN20" s="35" t="s">
        <v>134</v>
      </c>
      <c r="AO20">
        <v>34</v>
      </c>
      <c r="AP20">
        <v>0</v>
      </c>
      <c r="AQ20">
        <v>17</v>
      </c>
      <c r="AR20">
        <v>17</v>
      </c>
      <c r="AS20">
        <v>0</v>
      </c>
      <c r="AT20">
        <v>0</v>
      </c>
      <c r="AU20">
        <v>0</v>
      </c>
      <c r="AV20">
        <v>0</v>
      </c>
      <c r="AW20">
        <v>0</v>
      </c>
      <c r="AX20">
        <v>0</v>
      </c>
      <c r="AY20">
        <v>0</v>
      </c>
      <c r="AZ20">
        <v>0</v>
      </c>
      <c r="BA20">
        <v>0</v>
      </c>
      <c r="BB20">
        <v>0</v>
      </c>
      <c r="BC20">
        <v>0</v>
      </c>
      <c r="BD20" s="36" t="s">
        <v>67</v>
      </c>
      <c r="BE20" s="66"/>
      <c r="BF20" s="42" t="s">
        <v>69</v>
      </c>
      <c r="BG20" t="s">
        <v>67</v>
      </c>
      <c r="BH20">
        <v>2.7</v>
      </c>
      <c r="BJ20" s="50"/>
      <c r="BN20" t="s">
        <v>70</v>
      </c>
      <c r="BO20" t="s">
        <v>70</v>
      </c>
      <c r="BP20" t="s">
        <v>70</v>
      </c>
      <c r="BQ20" t="s">
        <v>70</v>
      </c>
      <c r="BR20" t="s">
        <v>70</v>
      </c>
      <c r="BS20" s="36" t="s">
        <v>70</v>
      </c>
    </row>
    <row r="21" spans="2:71" ht="15.75" thickBot="1" x14ac:dyDescent="0.3">
      <c r="C21" s="96"/>
      <c r="D21" s="96"/>
      <c r="E21" s="96"/>
      <c r="F21" s="96"/>
      <c r="G21" s="96"/>
      <c r="H21" s="96"/>
      <c r="I21" s="96" t="s">
        <v>81</v>
      </c>
      <c r="J21" s="96"/>
      <c r="K21" s="96"/>
      <c r="L21" s="96"/>
      <c r="M21" s="96"/>
      <c r="N21" s="96"/>
      <c r="O21" s="96"/>
      <c r="P21" s="96"/>
      <c r="Q21" s="96"/>
      <c r="R21" s="96"/>
      <c r="S21" s="9"/>
      <c r="T21" s="9"/>
      <c r="U21" s="9"/>
      <c r="AM21" t="s">
        <v>67</v>
      </c>
      <c r="AN21" s="35" t="s">
        <v>129</v>
      </c>
      <c r="AO21">
        <v>21</v>
      </c>
      <c r="AP21">
        <v>5.7</v>
      </c>
      <c r="AQ21">
        <v>13.3</v>
      </c>
      <c r="AR21">
        <v>2</v>
      </c>
      <c r="AS21">
        <v>7</v>
      </c>
      <c r="AT21">
        <v>7</v>
      </c>
      <c r="AU21">
        <v>0</v>
      </c>
      <c r="AV21">
        <v>0</v>
      </c>
      <c r="AW21">
        <v>13.5</v>
      </c>
      <c r="AX21">
        <v>0.02</v>
      </c>
      <c r="AY21">
        <v>0.05</v>
      </c>
      <c r="AZ21">
        <v>0.25</v>
      </c>
      <c r="BA21">
        <v>0.05</v>
      </c>
      <c r="BB21">
        <v>5.0000000000000001E-4</v>
      </c>
      <c r="BC21">
        <v>0.05</v>
      </c>
      <c r="BD21" s="36" t="s">
        <v>67</v>
      </c>
      <c r="BE21" s="66"/>
      <c r="BF21" s="45" t="s">
        <v>71</v>
      </c>
      <c r="BG21" s="37" t="s">
        <v>67</v>
      </c>
      <c r="BH21" s="37" t="s">
        <v>67</v>
      </c>
      <c r="BI21" s="37" t="s">
        <v>67</v>
      </c>
      <c r="BJ21" s="51"/>
      <c r="BK21" s="37" t="s">
        <v>67</v>
      </c>
      <c r="BL21" s="37" t="s">
        <v>67</v>
      </c>
      <c r="BM21" s="37" t="s">
        <v>67</v>
      </c>
      <c r="BN21" s="47" t="s">
        <v>60</v>
      </c>
      <c r="BO21" s="48" t="s">
        <v>61</v>
      </c>
      <c r="BP21" s="48" t="s">
        <v>62</v>
      </c>
      <c r="BQ21" s="48" t="s">
        <v>63</v>
      </c>
      <c r="BR21" s="48" t="s">
        <v>64</v>
      </c>
      <c r="BS21" s="49" t="s">
        <v>65</v>
      </c>
    </row>
    <row r="22" spans="2:71" ht="26.25" x14ac:dyDescent="0.25">
      <c r="B22" s="66"/>
      <c r="C22" s="100" t="s">
        <v>26</v>
      </c>
      <c r="D22" s="100" t="s">
        <v>52</v>
      </c>
      <c r="E22" s="100" t="s">
        <v>28</v>
      </c>
      <c r="F22" s="100" t="s">
        <v>27</v>
      </c>
      <c r="G22" s="100" t="s">
        <v>13</v>
      </c>
      <c r="H22" s="100" t="s">
        <v>5</v>
      </c>
      <c r="I22" s="100" t="s">
        <v>29</v>
      </c>
      <c r="J22" s="100" t="s">
        <v>30</v>
      </c>
      <c r="K22" s="100" t="s">
        <v>31</v>
      </c>
      <c r="L22" s="100" t="s">
        <v>53</v>
      </c>
      <c r="M22" s="100" t="s">
        <v>54</v>
      </c>
      <c r="N22" s="100" t="s">
        <v>55</v>
      </c>
      <c r="O22" s="100" t="s">
        <v>56</v>
      </c>
      <c r="P22" s="100" t="s">
        <v>57</v>
      </c>
      <c r="Q22" s="100" t="s">
        <v>58</v>
      </c>
      <c r="R22" s="100" t="s">
        <v>89</v>
      </c>
      <c r="S22" s="9"/>
      <c r="T22" s="9"/>
      <c r="U22" s="9"/>
      <c r="V22" s="9"/>
      <c r="AM22" t="s">
        <v>67</v>
      </c>
      <c r="AN22" s="35" t="s">
        <v>136</v>
      </c>
      <c r="AO22">
        <v>17</v>
      </c>
      <c r="AP22">
        <v>0</v>
      </c>
      <c r="AQ22">
        <v>4.42</v>
      </c>
      <c r="AR22">
        <v>12.58</v>
      </c>
      <c r="AS22">
        <v>5</v>
      </c>
      <c r="AT22">
        <v>17</v>
      </c>
      <c r="AU22">
        <v>4</v>
      </c>
      <c r="AV22">
        <v>1</v>
      </c>
      <c r="AX22">
        <v>0.02</v>
      </c>
      <c r="AY22">
        <v>0.02</v>
      </c>
      <c r="AZ22">
        <v>7.8E-2</v>
      </c>
      <c r="BA22">
        <v>0.05</v>
      </c>
      <c r="BB22">
        <v>6.9999999999999999E-4</v>
      </c>
      <c r="BC22">
        <v>0.05</v>
      </c>
      <c r="BD22" s="36" t="s">
        <v>67</v>
      </c>
      <c r="BE22" s="66"/>
    </row>
    <row r="23" spans="2:71" ht="15.75" thickBot="1" x14ac:dyDescent="0.3">
      <c r="B23" s="68" t="s">
        <v>97</v>
      </c>
      <c r="C23" s="10">
        <f>VLOOKUP($B14,$AN$3:$BC$35,2,FALSE)*$C14</f>
        <v>0</v>
      </c>
      <c r="D23" s="10">
        <f>VLOOKUP($B14,$AN$3:$BC$35,3,FALSE)*$C14</f>
        <v>0</v>
      </c>
      <c r="E23" s="10">
        <f>VLOOKUP($B14,$AN$3:$BC$35,4,FALSE)*$C14</f>
        <v>0</v>
      </c>
      <c r="F23" s="10">
        <f>VLOOKUP($B14,$AN$3:$BC$35,5,FALSE)*$C14</f>
        <v>0</v>
      </c>
      <c r="G23" s="10">
        <f>VLOOKUP($B14,$AN$3:$BC$35,6,FALSE)*$C14</f>
        <v>0</v>
      </c>
      <c r="H23" s="10">
        <f>VLOOKUP($B14,$AN$3:$BC$35,7,FALSE)*$C14</f>
        <v>0</v>
      </c>
      <c r="I23" s="10">
        <f>VLOOKUP($B14,$AN$3:$BC$35,8,FALSE)*$C14</f>
        <v>0</v>
      </c>
      <c r="J23" s="10">
        <f>VLOOKUP($B14,$AN$3:$BC$35,9,FALSE)*$C14</f>
        <v>0</v>
      </c>
      <c r="K23" s="10">
        <f>VLOOKUP($B14,$AN$3:$BC$35,10,FALSE)*$C14</f>
        <v>0</v>
      </c>
      <c r="L23" s="10">
        <f>VLOOKUP($B14,$AN$3:$BC$35,11,FALSE)*$C14</f>
        <v>0</v>
      </c>
      <c r="M23" s="10">
        <f>VLOOKUP($B14,$AN$3:$BC$35,12,FALSE)*$C14</f>
        <v>0</v>
      </c>
      <c r="N23" s="10">
        <f>VLOOKUP($B14,$AN$3:$BC$35,13,FALSE)*$C14</f>
        <v>0</v>
      </c>
      <c r="O23" s="10">
        <f>VLOOKUP($B14,$AN$3:$BC$35,14,FALSE)*$C14</f>
        <v>0</v>
      </c>
      <c r="P23" s="10">
        <f>VLOOKUP($B14,$AN$3:$BC$35,15,FALSE)*$C14</f>
        <v>0</v>
      </c>
      <c r="Q23" s="10">
        <f>VLOOKUP($B14,$AN$3:$BC$35,16,FALSE)*$C14</f>
        <v>0</v>
      </c>
      <c r="R23" s="28"/>
      <c r="S23" s="9"/>
      <c r="T23" s="9"/>
      <c r="U23" s="9"/>
      <c r="V23" s="9"/>
      <c r="AM23" t="s">
        <v>67</v>
      </c>
      <c r="AN23" s="35" t="s">
        <v>130</v>
      </c>
      <c r="AO23">
        <v>30</v>
      </c>
      <c r="AP23">
        <v>25</v>
      </c>
      <c r="AQ23">
        <v>2</v>
      </c>
      <c r="AR23">
        <v>3</v>
      </c>
      <c r="AS23">
        <v>10</v>
      </c>
      <c r="AT23">
        <v>10</v>
      </c>
      <c r="AU23">
        <v>0</v>
      </c>
      <c r="AV23">
        <v>0.5</v>
      </c>
      <c r="AW23">
        <v>0</v>
      </c>
      <c r="AX23">
        <v>0.02</v>
      </c>
      <c r="AY23">
        <v>0.05</v>
      </c>
      <c r="AZ23">
        <v>0.1</v>
      </c>
      <c r="BA23">
        <v>0.05</v>
      </c>
      <c r="BB23">
        <v>5.0000000000000001E-4</v>
      </c>
      <c r="BC23">
        <v>0.05</v>
      </c>
      <c r="BD23" s="36" t="s">
        <v>67</v>
      </c>
      <c r="BE23" s="66">
        <v>14</v>
      </c>
    </row>
    <row r="24" spans="2:71" x14ac:dyDescent="0.25">
      <c r="B24" s="68" t="str">
        <f>B23</f>
        <v>per liter</v>
      </c>
      <c r="C24" s="10">
        <f>VLOOKUP($B15,$AN$3:$BC$35,2,FALSE)*$C15</f>
        <v>0</v>
      </c>
      <c r="D24" s="10">
        <f>VLOOKUP($B15,$AN$3:$BC$35,3,FALSE)*$C15</f>
        <v>0</v>
      </c>
      <c r="E24" s="10">
        <f>VLOOKUP($B15,$AN$3:$BC$35,4,FALSE)*$C15</f>
        <v>0</v>
      </c>
      <c r="F24" s="10">
        <f>VLOOKUP($B15,$AN$3:$BC$35,5,FALSE)*$C15</f>
        <v>0</v>
      </c>
      <c r="G24" s="10">
        <f>VLOOKUP($B15,$AN$3:$BC$35,6,FALSE)*$C15</f>
        <v>0</v>
      </c>
      <c r="H24" s="10">
        <f>VLOOKUP($B15,$AN$3:$BC$35,7,FALSE)*$C15</f>
        <v>0</v>
      </c>
      <c r="I24" s="10">
        <f>VLOOKUP($B15,$AN$3:$BC$35,8,FALSE)*$C15</f>
        <v>0</v>
      </c>
      <c r="J24" s="10">
        <f>VLOOKUP($B15,$AN$3:$BC$35,9,FALSE)*$C15</f>
        <v>0</v>
      </c>
      <c r="K24" s="10">
        <f>VLOOKUP($B15,$AN$3:$BC$35,10,FALSE)*$C15</f>
        <v>0</v>
      </c>
      <c r="L24" s="10">
        <f>VLOOKUP($B15,$AN$3:$BC$35,11,FALSE)*$C15</f>
        <v>0</v>
      </c>
      <c r="M24" s="10">
        <f>VLOOKUP($B15,$AN$3:$BC$35,12,FALSE)*$C15</f>
        <v>0</v>
      </c>
      <c r="N24" s="10">
        <f>VLOOKUP($B15,$AN$3:$BC$35,13,FALSE)*$C15</f>
        <v>0</v>
      </c>
      <c r="O24" s="10">
        <f>VLOOKUP($B15,$AN$3:$BC$35,14,FALSE)*$C15</f>
        <v>0</v>
      </c>
      <c r="P24" s="10">
        <f>VLOOKUP($B15,$AN$3:$BC$35,15,FALSE)*$C15</f>
        <v>0</v>
      </c>
      <c r="Q24" s="10">
        <f>VLOOKUP($B15,$AN$3:$BC$35,16,FALSE)*$C15</f>
        <v>0</v>
      </c>
      <c r="R24" s="29"/>
      <c r="S24" s="9"/>
      <c r="T24" s="9"/>
      <c r="U24" s="9"/>
      <c r="V24" s="9"/>
      <c r="AM24" t="s">
        <v>111</v>
      </c>
      <c r="AN24" s="35" t="s">
        <v>112</v>
      </c>
      <c r="AO24">
        <v>0</v>
      </c>
      <c r="AP24">
        <v>0</v>
      </c>
      <c r="AQ24">
        <v>0</v>
      </c>
      <c r="AR24">
        <v>0</v>
      </c>
      <c r="AS24">
        <v>0</v>
      </c>
      <c r="AT24">
        <v>21.5</v>
      </c>
      <c r="AU24">
        <v>0</v>
      </c>
      <c r="AV24">
        <v>10.8</v>
      </c>
      <c r="AW24">
        <v>22</v>
      </c>
      <c r="AX24">
        <v>0</v>
      </c>
      <c r="AY24">
        <v>0</v>
      </c>
      <c r="AZ24">
        <v>0</v>
      </c>
      <c r="BA24">
        <v>0</v>
      </c>
      <c r="BB24">
        <v>0</v>
      </c>
      <c r="BC24">
        <v>0</v>
      </c>
      <c r="BD24" s="36"/>
      <c r="BE24" s="66">
        <v>15</v>
      </c>
      <c r="BF24" s="39"/>
      <c r="BG24" s="40" t="s">
        <v>66</v>
      </c>
      <c r="BH24" s="40" t="s">
        <v>99</v>
      </c>
      <c r="BI24" s="40" t="s">
        <v>122</v>
      </c>
      <c r="BJ24" s="74" t="s">
        <v>168</v>
      </c>
      <c r="BK24" s="40" t="s">
        <v>105</v>
      </c>
      <c r="BL24" s="40" t="s">
        <v>106</v>
      </c>
      <c r="BM24" s="89" t="s">
        <v>187</v>
      </c>
      <c r="BN24" s="40" t="s">
        <v>83</v>
      </c>
      <c r="BO24" s="40" t="s">
        <v>84</v>
      </c>
      <c r="BP24" s="40" t="s">
        <v>85</v>
      </c>
      <c r="BQ24" s="40" t="s">
        <v>86</v>
      </c>
      <c r="BR24" s="40" t="s">
        <v>87</v>
      </c>
      <c r="BS24" s="41" t="s">
        <v>88</v>
      </c>
    </row>
    <row r="25" spans="2:71" x14ac:dyDescent="0.25">
      <c r="B25" s="68" t="str">
        <f>B23</f>
        <v>per liter</v>
      </c>
      <c r="C25" s="10">
        <f>VLOOKUP($B16,$AN$3:$BC$35,2,FALSE)*$C16</f>
        <v>0</v>
      </c>
      <c r="D25" s="10">
        <f>VLOOKUP($B16,$AN$3:$BC$35,3,FALSE)*$C16</f>
        <v>0</v>
      </c>
      <c r="E25" s="10">
        <f>VLOOKUP($B16,$AN$3:$BC$35,4,FALSE)*$C16</f>
        <v>0</v>
      </c>
      <c r="F25" s="10">
        <f>VLOOKUP($B16,$AN$3:$BC$35,5,FALSE)*$C16</f>
        <v>0</v>
      </c>
      <c r="G25" s="10">
        <f>VLOOKUP($B16,$AN$3:$BC$35,6,FALSE)*$C16</f>
        <v>0</v>
      </c>
      <c r="H25" s="10">
        <f>VLOOKUP($B16,$AN$3:$BC$35,7,FALSE)*$C16</f>
        <v>0</v>
      </c>
      <c r="I25" s="10">
        <f>VLOOKUP($B16,$AN$3:$BC$35,8,FALSE)*$C16</f>
        <v>0</v>
      </c>
      <c r="J25" s="10">
        <f>VLOOKUP($B16,$AN$3:$BC$35,9,FALSE)*$C16</f>
        <v>0</v>
      </c>
      <c r="K25" s="10">
        <f>VLOOKUP($B16,$AN$3:$BC$35,10,FALSE)*$C16</f>
        <v>0</v>
      </c>
      <c r="L25" s="10">
        <f>VLOOKUP($B16,$AN$3:$BC$35,11,FALSE)*$C16</f>
        <v>0</v>
      </c>
      <c r="M25" s="10">
        <f>VLOOKUP($B16,$AN$3:$BC$35,12,FALSE)*$C16</f>
        <v>0</v>
      </c>
      <c r="N25" s="10">
        <f>VLOOKUP($B16,$AN$3:$BC$35,13,FALSE)*$C16</f>
        <v>0</v>
      </c>
      <c r="O25" s="10">
        <f>VLOOKUP($B16,$AN$3:$BC$35,14,FALSE)*$C16</f>
        <v>0</v>
      </c>
      <c r="P25" s="10">
        <f>VLOOKUP($B16,$AN$3:$BC$35,15,FALSE)*$C16</f>
        <v>0</v>
      </c>
      <c r="Q25" s="10">
        <f>VLOOKUP($B16,$AN$3:$BC$35,16,FALSE)*$C16</f>
        <v>0</v>
      </c>
      <c r="R25" s="29"/>
      <c r="S25" s="9"/>
      <c r="T25" s="9"/>
      <c r="U25" s="9"/>
      <c r="AN25" s="35" t="s">
        <v>118</v>
      </c>
      <c r="AO25">
        <v>0</v>
      </c>
      <c r="AP25">
        <v>0</v>
      </c>
      <c r="AQ25">
        <v>0</v>
      </c>
      <c r="AR25">
        <v>0</v>
      </c>
      <c r="AS25">
        <v>0.5</v>
      </c>
      <c r="AT25">
        <v>0.7</v>
      </c>
      <c r="AU25">
        <v>0</v>
      </c>
      <c r="AV25">
        <v>0</v>
      </c>
      <c r="AW25">
        <v>0</v>
      </c>
      <c r="AX25">
        <v>0</v>
      </c>
      <c r="AY25">
        <v>0</v>
      </c>
      <c r="AZ25">
        <v>0.1</v>
      </c>
      <c r="BA25">
        <v>0</v>
      </c>
      <c r="BB25">
        <v>0</v>
      </c>
      <c r="BC25">
        <v>0</v>
      </c>
      <c r="BD25" s="36">
        <f>0.454/0.473</f>
        <v>0.95983086680761109</v>
      </c>
      <c r="BE25" s="66">
        <v>16</v>
      </c>
      <c r="BF25" s="42" t="s">
        <v>93</v>
      </c>
      <c r="BG25" s="22">
        <v>6</v>
      </c>
      <c r="BH25" s="22">
        <v>6.2</v>
      </c>
      <c r="BI25" s="22">
        <v>6.5</v>
      </c>
      <c r="BJ25" s="50"/>
      <c r="BK25" s="22">
        <v>6</v>
      </c>
      <c r="BL25" s="22">
        <v>6</v>
      </c>
      <c r="BM25" s="22">
        <v>6.5</v>
      </c>
      <c r="BN25" s="22">
        <v>6.5</v>
      </c>
      <c r="BO25" s="22">
        <v>6.5</v>
      </c>
      <c r="BP25" s="22">
        <v>6.5</v>
      </c>
      <c r="BQ25" s="22">
        <v>6.5</v>
      </c>
      <c r="BR25" s="22">
        <v>6.5</v>
      </c>
      <c r="BS25" s="43">
        <v>6.5</v>
      </c>
    </row>
    <row r="26" spans="2:71" ht="15.75" thickBot="1" x14ac:dyDescent="0.3">
      <c r="B26" s="68" t="str">
        <f>B24</f>
        <v>per liter</v>
      </c>
      <c r="C26" s="10">
        <f>VLOOKUP($B17,$AN$3:$BC$35,2,FALSE)*$C17</f>
        <v>0</v>
      </c>
      <c r="D26" s="10">
        <f>VLOOKUP($B17,$AN$3:$BC$35,3,FALSE)*$C17</f>
        <v>0</v>
      </c>
      <c r="E26" s="10">
        <f>VLOOKUP($B17,$AN$3:$BC$35,4,FALSE)*$C17</f>
        <v>0</v>
      </c>
      <c r="F26" s="10">
        <f>VLOOKUP($B17,$AN$3:$BC$35,5,FALSE)*$C17</f>
        <v>0</v>
      </c>
      <c r="G26" s="10">
        <f>VLOOKUP($B17,$AN$3:$BC$35,6,FALSE)*$C17</f>
        <v>0</v>
      </c>
      <c r="H26" s="10">
        <f>VLOOKUP($B17,$AN$3:$BC$35,7,FALSE)*$C17</f>
        <v>0</v>
      </c>
      <c r="I26" s="10">
        <f>VLOOKUP($B17,$AN$3:$BC$35,8,FALSE)*$C17</f>
        <v>0</v>
      </c>
      <c r="J26" s="10">
        <f>VLOOKUP($B17,$AN$3:$BC$35,9,FALSE)*$C17</f>
        <v>0</v>
      </c>
      <c r="K26" s="10">
        <f>VLOOKUP($B17,$AN$3:$BC$35,10,FALSE)*$C17</f>
        <v>0</v>
      </c>
      <c r="L26" s="10">
        <f>VLOOKUP($B17,$AN$3:$BC$35,11,FALSE)*$C17</f>
        <v>0</v>
      </c>
      <c r="M26" s="10">
        <f>VLOOKUP($B17,$AN$3:$BC$35,12,FALSE)*$C17</f>
        <v>0</v>
      </c>
      <c r="N26" s="10">
        <f>VLOOKUP($B17,$AN$3:$BC$35,13,FALSE)*$C17</f>
        <v>0</v>
      </c>
      <c r="O26" s="10">
        <f>VLOOKUP($B17,$AN$3:$BC$35,14,FALSE)*$C17</f>
        <v>0</v>
      </c>
      <c r="P26" s="10">
        <f>VLOOKUP($B17,$AN$3:$BC$35,15,FALSE)*$C17</f>
        <v>0</v>
      </c>
      <c r="Q26" s="10">
        <f>VLOOKUP($B17,$AN$3:$BC$35,16,FALSE)*$C17</f>
        <v>0</v>
      </c>
      <c r="R26" s="29"/>
      <c r="S26" s="9"/>
      <c r="T26" s="9"/>
      <c r="U26" s="9"/>
      <c r="AN26" s="35" t="s">
        <v>119</v>
      </c>
      <c r="AO26">
        <v>6</v>
      </c>
      <c r="AP26">
        <v>0</v>
      </c>
      <c r="AQ26">
        <v>0</v>
      </c>
      <c r="AR26">
        <v>0</v>
      </c>
      <c r="AS26">
        <v>4</v>
      </c>
      <c r="AT26">
        <v>4</v>
      </c>
      <c r="AU26">
        <v>0</v>
      </c>
      <c r="AV26">
        <v>0.6</v>
      </c>
      <c r="AW26">
        <v>0</v>
      </c>
      <c r="AX26">
        <v>0.02</v>
      </c>
      <c r="AY26">
        <v>0.05</v>
      </c>
      <c r="AZ26">
        <v>0.1</v>
      </c>
      <c r="BA26">
        <v>0.05</v>
      </c>
      <c r="BB26">
        <v>0</v>
      </c>
      <c r="BC26">
        <v>0.05</v>
      </c>
      <c r="BD26" s="36">
        <f>0.454/0.473</f>
        <v>0.95983086680761109</v>
      </c>
      <c r="BE26" s="75"/>
      <c r="BF26" s="45" t="s">
        <v>94</v>
      </c>
      <c r="BG26" s="46">
        <v>5.5</v>
      </c>
      <c r="BH26" s="46">
        <v>5.8</v>
      </c>
      <c r="BI26" s="46">
        <v>5.5</v>
      </c>
      <c r="BJ26" s="51"/>
      <c r="BK26" s="46">
        <v>5.5</v>
      </c>
      <c r="BL26" s="46">
        <v>5.5</v>
      </c>
      <c r="BM26" s="46">
        <v>5.5</v>
      </c>
      <c r="BN26" s="46">
        <v>5.5</v>
      </c>
      <c r="BO26" s="46">
        <v>5.5</v>
      </c>
      <c r="BP26" s="46">
        <v>5.5</v>
      </c>
      <c r="BQ26" s="46">
        <v>5.5</v>
      </c>
      <c r="BR26" s="46">
        <v>5.5</v>
      </c>
      <c r="BS26" s="90">
        <v>5.5</v>
      </c>
    </row>
    <row r="27" spans="2:71" x14ac:dyDescent="0.25">
      <c r="B27" s="68" t="str">
        <f>B26</f>
        <v>per liter</v>
      </c>
      <c r="C27" s="20">
        <f>VLOOKUP($B18,$AN$3:$BC$35,2,FALSE)*$C18</f>
        <v>0</v>
      </c>
      <c r="D27" s="20">
        <f>VLOOKUP($B18,$AN$3:$BC$35,3,FALSE)*$C18</f>
        <v>0</v>
      </c>
      <c r="E27" s="20">
        <f>VLOOKUP($B18,$AN$3:$BC$35,4,FALSE)*$C18</f>
        <v>0</v>
      </c>
      <c r="F27" s="20">
        <f>VLOOKUP($B18,$AN$3:$BC$35,5,FALSE)*$C18</f>
        <v>0</v>
      </c>
      <c r="G27" s="20">
        <f>VLOOKUP($B18,$AN$3:$BC$35,6,FALSE)*$C18</f>
        <v>0</v>
      </c>
      <c r="H27" s="20">
        <f>VLOOKUP($B18,$AN$3:$BC$35,7,FALSE)*$C18</f>
        <v>0</v>
      </c>
      <c r="I27" s="20">
        <f>VLOOKUP($B18,$AN$3:$BC$35,8,FALSE)*$C18</f>
        <v>0</v>
      </c>
      <c r="J27" s="20">
        <f>VLOOKUP($B18,$AN$3:$BC$35,9,FALSE)*$C18</f>
        <v>0</v>
      </c>
      <c r="K27" s="20">
        <f>VLOOKUP($B18,$AN$3:$BC$35,10,FALSE)*$C18</f>
        <v>0</v>
      </c>
      <c r="L27" s="20">
        <f>VLOOKUP($B18,$AN$3:$BC$35,11,FALSE)*$C18</f>
        <v>0</v>
      </c>
      <c r="M27" s="20">
        <f>VLOOKUP($B18,$AN$3:$BC$35,12,FALSE)*$C18</f>
        <v>0</v>
      </c>
      <c r="N27" s="20">
        <f>VLOOKUP($B18,$AN$3:$BC$35,13,FALSE)*$C18</f>
        <v>0</v>
      </c>
      <c r="O27" s="20">
        <f>VLOOKUP($B18,$AN$3:$BC$35,14,FALSE)*$C18</f>
        <v>0</v>
      </c>
      <c r="P27" s="20">
        <f>VLOOKUP($B18,$AN$3:$BC$35,15,FALSE)*$C18</f>
        <v>0</v>
      </c>
      <c r="Q27" s="20">
        <f>VLOOKUP($B18,$AN$3:$BC$35,16,FALSE)*$C18</f>
        <v>0</v>
      </c>
      <c r="R27" s="30"/>
      <c r="S27" s="9"/>
      <c r="T27" s="9"/>
      <c r="U27" s="9"/>
      <c r="AN27" s="35" t="s">
        <v>151</v>
      </c>
      <c r="AO27">
        <v>16</v>
      </c>
      <c r="AP27">
        <v>0</v>
      </c>
      <c r="AQ27">
        <v>3.4</v>
      </c>
      <c r="AR27">
        <v>12.6</v>
      </c>
      <c r="AS27">
        <v>4</v>
      </c>
      <c r="AT27">
        <v>17</v>
      </c>
      <c r="AU27">
        <v>4</v>
      </c>
      <c r="AV27">
        <v>1.5</v>
      </c>
      <c r="AW27">
        <v>0</v>
      </c>
      <c r="AX27">
        <v>0.02</v>
      </c>
      <c r="AY27">
        <v>0.01</v>
      </c>
      <c r="AZ27">
        <v>0.22</v>
      </c>
      <c r="BA27">
        <v>0.05</v>
      </c>
      <c r="BB27">
        <v>8.0000000000000002E-3</v>
      </c>
      <c r="BC27">
        <v>0.05</v>
      </c>
      <c r="BD27" s="36" t="s">
        <v>67</v>
      </c>
      <c r="BE27" s="75"/>
    </row>
    <row r="28" spans="2:71" x14ac:dyDescent="0.25">
      <c r="B28" s="72" t="s">
        <v>159</v>
      </c>
      <c r="C28" s="22">
        <f t="shared" ref="C28:Q28" si="3">SUM(C23:C27)+B4</f>
        <v>0</v>
      </c>
      <c r="D28" s="22">
        <f t="shared" si="3"/>
        <v>0</v>
      </c>
      <c r="E28" s="22">
        <f t="shared" si="3"/>
        <v>0</v>
      </c>
      <c r="F28" s="22">
        <f t="shared" si="3"/>
        <v>0</v>
      </c>
      <c r="G28" s="22">
        <f t="shared" si="3"/>
        <v>0</v>
      </c>
      <c r="H28" s="22">
        <f t="shared" si="3"/>
        <v>0</v>
      </c>
      <c r="I28" s="22">
        <f t="shared" si="3"/>
        <v>0</v>
      </c>
      <c r="J28" s="22">
        <f t="shared" si="3"/>
        <v>0</v>
      </c>
      <c r="K28" s="22">
        <f t="shared" si="3"/>
        <v>0</v>
      </c>
      <c r="L28" s="9">
        <f t="shared" si="3"/>
        <v>0</v>
      </c>
      <c r="M28" s="9">
        <f t="shared" si="3"/>
        <v>0</v>
      </c>
      <c r="N28" s="9">
        <f t="shared" si="3"/>
        <v>0</v>
      </c>
      <c r="O28" s="9">
        <f t="shared" si="3"/>
        <v>0</v>
      </c>
      <c r="P28" s="9">
        <f t="shared" si="3"/>
        <v>0</v>
      </c>
      <c r="Q28" s="9">
        <f t="shared" si="3"/>
        <v>0</v>
      </c>
      <c r="R28" s="9" t="str">
        <f>IF(C7="Lettuce","", H28/C28)</f>
        <v/>
      </c>
      <c r="S28" s="9"/>
      <c r="T28" s="9"/>
      <c r="U28" s="9"/>
      <c r="AN28" s="35" t="s">
        <v>120</v>
      </c>
      <c r="AO28">
        <v>2</v>
      </c>
      <c r="AP28">
        <v>0</v>
      </c>
      <c r="AQ28">
        <v>0</v>
      </c>
      <c r="AR28">
        <v>0</v>
      </c>
      <c r="AS28">
        <v>8</v>
      </c>
      <c r="AT28">
        <v>4</v>
      </c>
      <c r="AU28">
        <v>0</v>
      </c>
      <c r="AV28">
        <v>0.5</v>
      </c>
      <c r="AW28">
        <v>0</v>
      </c>
      <c r="AX28">
        <v>0.02</v>
      </c>
      <c r="AY28">
        <v>0.05</v>
      </c>
      <c r="AZ28">
        <v>0.12</v>
      </c>
      <c r="BA28">
        <v>0.06</v>
      </c>
      <c r="BB28">
        <v>0</v>
      </c>
      <c r="BC28">
        <v>0.05</v>
      </c>
      <c r="BD28" s="36">
        <f>0.454/0.473</f>
        <v>0.95983086680761109</v>
      </c>
      <c r="BE28" s="75"/>
      <c r="BF28" t="s">
        <v>101</v>
      </c>
      <c r="BH28">
        <v>0.5</v>
      </c>
    </row>
    <row r="29" spans="2:71" x14ac:dyDescent="0.25">
      <c r="B29" s="72" t="s">
        <v>158</v>
      </c>
      <c r="C29" s="22">
        <f>HLOOKUP($C$7,$BG$3:$BS$19,2,FALSE)</f>
        <v>150</v>
      </c>
      <c r="D29" s="23"/>
      <c r="E29" s="23"/>
      <c r="F29" s="23"/>
      <c r="G29" s="22">
        <f>HLOOKUP($C$7,$BG$3:$BS$19,3,FALSE)</f>
        <v>31</v>
      </c>
      <c r="H29" s="22">
        <f>HLOOKUP($C$7,$BG$3:$BS$19,4,FALSE)</f>
        <v>210</v>
      </c>
      <c r="I29" s="22">
        <f>HLOOKUP($C$7,$BG$3:$BS$19,5,FALSE)</f>
        <v>90</v>
      </c>
      <c r="J29" s="22">
        <f>HLOOKUP($C$7,$BG$3:$BS$19,6,FALSE)</f>
        <v>24</v>
      </c>
      <c r="K29" s="22">
        <f>HLOOKUP($C$7,$BG$3:$BS$19,7,FALSE)</f>
        <v>0</v>
      </c>
      <c r="L29" s="9">
        <f>HLOOKUP($C$7,$BG$3:$BS$19,8,FALSE)</f>
        <v>0.16</v>
      </c>
      <c r="M29" s="9">
        <f>HLOOKUP($C$7,$BG$3:$BS$19,9,FALSE)</f>
        <v>0.02</v>
      </c>
      <c r="N29" s="9">
        <f>HLOOKUP($C$7,$BG$3:$BS$19,10,FALSE)</f>
        <v>1</v>
      </c>
      <c r="O29" s="9">
        <f>HLOOKUP($C$7,$BG$3:$BS$19,11,FALSE)</f>
        <v>0.25</v>
      </c>
      <c r="P29" s="9">
        <f>HLOOKUP($C$7,$BG$3:$BS$19,12,FALSE)</f>
        <v>0.02</v>
      </c>
      <c r="Q29" s="9">
        <f>HLOOKUP($C$7,$BG$3:$BS$19,13,FALSE)</f>
        <v>0.13</v>
      </c>
      <c r="R29" s="9" t="str">
        <f>IF(HLOOKUP($C$7,$BG$3:$BS$19,14,FALSE)=0, "",HLOOKUP($C$7,$BG$3:$BS$22,14,FALSE))</f>
        <v>NA</v>
      </c>
      <c r="S29" s="9"/>
      <c r="T29" s="9"/>
      <c r="U29" s="9"/>
      <c r="AN29" s="35" t="s">
        <v>135</v>
      </c>
      <c r="AO29">
        <v>13</v>
      </c>
      <c r="AP29">
        <v>0</v>
      </c>
      <c r="AQ29">
        <v>0</v>
      </c>
      <c r="AR29">
        <v>13</v>
      </c>
      <c r="AS29">
        <v>0</v>
      </c>
      <c r="AT29">
        <v>45</v>
      </c>
      <c r="AU29">
        <v>0</v>
      </c>
      <c r="AV29">
        <v>0</v>
      </c>
      <c r="AW29">
        <v>0</v>
      </c>
      <c r="AX29">
        <v>0</v>
      </c>
      <c r="AY29">
        <v>0</v>
      </c>
      <c r="AZ29">
        <v>0</v>
      </c>
      <c r="BA29">
        <v>0</v>
      </c>
      <c r="BB29">
        <v>0</v>
      </c>
      <c r="BC29">
        <v>0</v>
      </c>
      <c r="BD29" s="36" t="s">
        <v>67</v>
      </c>
      <c r="BE29" s="75"/>
      <c r="BF29" t="s">
        <v>102</v>
      </c>
      <c r="BH29">
        <v>1.5</v>
      </c>
    </row>
    <row r="30" spans="2:71" x14ac:dyDescent="0.25">
      <c r="C30" s="9">
        <f>C28/C29*100</f>
        <v>0</v>
      </c>
      <c r="D30" s="23"/>
      <c r="E30" s="23"/>
      <c r="F30" s="23"/>
      <c r="G30" s="9">
        <f t="shared" ref="G30:Q30" si="4">G28/G29*100</f>
        <v>0</v>
      </c>
      <c r="H30" s="9">
        <f t="shared" si="4"/>
        <v>0</v>
      </c>
      <c r="I30" s="9">
        <f t="shared" si="4"/>
        <v>0</v>
      </c>
      <c r="J30" s="9">
        <f t="shared" si="4"/>
        <v>0</v>
      </c>
      <c r="K30" s="9" t="e">
        <f t="shared" si="4"/>
        <v>#DIV/0!</v>
      </c>
      <c r="L30" s="9">
        <f t="shared" si="4"/>
        <v>0</v>
      </c>
      <c r="M30" s="9">
        <f t="shared" si="4"/>
        <v>0</v>
      </c>
      <c r="N30" s="9">
        <f t="shared" si="4"/>
        <v>0</v>
      </c>
      <c r="O30" s="9">
        <f t="shared" si="4"/>
        <v>0</v>
      </c>
      <c r="P30" s="9">
        <f t="shared" si="4"/>
        <v>0</v>
      </c>
      <c r="Q30" s="9">
        <f t="shared" si="4"/>
        <v>0</v>
      </c>
      <c r="R30" s="9" t="s">
        <v>67</v>
      </c>
      <c r="S30" s="72" t="s">
        <v>157</v>
      </c>
      <c r="T30" s="9"/>
      <c r="U30" s="9"/>
      <c r="AM30" t="s">
        <v>113</v>
      </c>
      <c r="AN30" s="35" t="s">
        <v>116</v>
      </c>
      <c r="AO30">
        <v>0</v>
      </c>
      <c r="AP30">
        <v>0</v>
      </c>
      <c r="AQ30">
        <v>0</v>
      </c>
      <c r="AR30">
        <v>0</v>
      </c>
      <c r="AS30">
        <v>12</v>
      </c>
      <c r="AT30">
        <v>0</v>
      </c>
      <c r="AU30">
        <v>7</v>
      </c>
      <c r="AV30">
        <v>0</v>
      </c>
      <c r="AW30">
        <v>0</v>
      </c>
      <c r="AX30">
        <v>0</v>
      </c>
      <c r="AY30">
        <v>0</v>
      </c>
      <c r="AZ30">
        <v>0</v>
      </c>
      <c r="BA30">
        <v>0</v>
      </c>
      <c r="BB30">
        <v>0</v>
      </c>
      <c r="BC30">
        <v>0</v>
      </c>
      <c r="BD30" s="36">
        <v>1.2156448200000001</v>
      </c>
      <c r="BE30" s="75"/>
    </row>
    <row r="31" spans="2:71" x14ac:dyDescent="0.25">
      <c r="B31" s="18"/>
      <c r="C31" s="19"/>
      <c r="F31" s="13"/>
      <c r="G31" s="9"/>
      <c r="H31" s="9"/>
      <c r="I31" s="9"/>
      <c r="J31" s="9"/>
      <c r="K31" s="9"/>
      <c r="L31" s="9"/>
      <c r="M31" s="9"/>
      <c r="N31" s="9"/>
      <c r="O31" s="9"/>
      <c r="P31" s="9"/>
      <c r="Q31" s="9"/>
      <c r="R31" s="9"/>
      <c r="AN31" s="76" t="s">
        <v>169</v>
      </c>
      <c r="AO31" s="50"/>
      <c r="AP31" s="50"/>
      <c r="AQ31" s="50"/>
      <c r="AR31" s="50"/>
      <c r="AS31" s="50"/>
      <c r="AT31" s="50"/>
      <c r="AU31" s="50"/>
      <c r="AV31" s="50"/>
      <c r="AW31" s="50"/>
      <c r="AX31" s="50"/>
      <c r="AY31" s="50"/>
      <c r="AZ31" s="50"/>
      <c r="BA31" s="50"/>
      <c r="BB31" s="50"/>
      <c r="BC31" s="50"/>
      <c r="BD31" s="38"/>
      <c r="BE31" s="75"/>
    </row>
    <row r="32" spans="2:71" x14ac:dyDescent="0.25">
      <c r="B32" s="18"/>
      <c r="C32" s="19"/>
      <c r="F32" s="13"/>
      <c r="G32" s="9"/>
      <c r="H32" s="9"/>
      <c r="I32" s="9"/>
      <c r="J32" s="9"/>
      <c r="K32" s="9"/>
      <c r="L32" s="9"/>
      <c r="M32" s="9"/>
      <c r="N32" s="9"/>
      <c r="O32" s="9"/>
      <c r="P32" s="9"/>
      <c r="Q32" s="9"/>
      <c r="R32" s="9"/>
      <c r="AN32" s="76" t="s">
        <v>170</v>
      </c>
      <c r="AO32" s="50"/>
      <c r="AP32" s="50"/>
      <c r="AQ32" s="50"/>
      <c r="AR32" s="50"/>
      <c r="AS32" s="50"/>
      <c r="AT32" s="50"/>
      <c r="AU32" s="50"/>
      <c r="AV32" s="50"/>
      <c r="AW32" s="50"/>
      <c r="AX32" s="50"/>
      <c r="AY32" s="50"/>
      <c r="AZ32" s="50"/>
      <c r="BA32" s="50"/>
      <c r="BB32" s="50"/>
      <c r="BC32" s="50"/>
      <c r="BD32" s="38"/>
      <c r="BE32" s="75"/>
    </row>
    <row r="33" spans="2:57" x14ac:dyDescent="0.25">
      <c r="B33" s="61" t="s">
        <v>161</v>
      </c>
      <c r="C33" s="19"/>
      <c r="F33" s="13"/>
      <c r="G33" s="9"/>
      <c r="H33" s="9"/>
      <c r="I33" s="9"/>
      <c r="J33" s="9"/>
      <c r="K33" s="9"/>
      <c r="L33" s="9"/>
      <c r="M33" s="9"/>
      <c r="N33" s="9"/>
      <c r="O33" s="9"/>
      <c r="P33" s="9"/>
      <c r="Q33" s="9"/>
      <c r="R33" s="9"/>
      <c r="AN33" s="91" t="s">
        <v>171</v>
      </c>
      <c r="AO33" s="92"/>
      <c r="AP33" s="92"/>
      <c r="AQ33" s="92"/>
      <c r="AR33" s="92"/>
      <c r="AS33" s="92"/>
      <c r="AT33" s="92"/>
      <c r="AU33" s="92"/>
      <c r="AV33" s="92"/>
      <c r="AW33" s="92"/>
      <c r="AX33" s="92"/>
      <c r="AY33" s="92"/>
      <c r="AZ33" s="92"/>
      <c r="BA33" s="92"/>
      <c r="BB33" s="92"/>
      <c r="BC33" s="92"/>
      <c r="BD33" s="93"/>
      <c r="BE33" s="75"/>
    </row>
    <row r="34" spans="2:57" x14ac:dyDescent="0.25">
      <c r="B34" s="101" t="s">
        <v>32</v>
      </c>
      <c r="C34" s="69" t="s">
        <v>108</v>
      </c>
      <c r="D34" s="69" t="s">
        <v>160</v>
      </c>
      <c r="E34" s="1"/>
      <c r="F34" s="13"/>
      <c r="G34" s="22"/>
      <c r="H34" s="8"/>
      <c r="I34" s="8"/>
      <c r="J34" s="8"/>
      <c r="K34" s="22"/>
      <c r="L34" s="22"/>
      <c r="M34" s="22"/>
      <c r="N34" s="22"/>
      <c r="O34" s="22"/>
      <c r="P34" s="9"/>
      <c r="Q34" s="9"/>
      <c r="R34" s="9"/>
      <c r="AM34" t="s">
        <v>150</v>
      </c>
      <c r="AN34" s="35" t="s">
        <v>150</v>
      </c>
      <c r="AO34">
        <v>0</v>
      </c>
      <c r="AP34">
        <v>0</v>
      </c>
      <c r="AQ34">
        <v>0</v>
      </c>
      <c r="AR34">
        <v>0</v>
      </c>
      <c r="AS34">
        <v>0</v>
      </c>
      <c r="AT34">
        <v>0</v>
      </c>
      <c r="AU34">
        <v>0</v>
      </c>
      <c r="AV34">
        <v>0</v>
      </c>
      <c r="AW34">
        <v>0</v>
      </c>
      <c r="AX34">
        <v>0</v>
      </c>
      <c r="AY34">
        <v>0</v>
      </c>
      <c r="AZ34">
        <v>6</v>
      </c>
      <c r="BA34">
        <v>0</v>
      </c>
      <c r="BB34">
        <v>0</v>
      </c>
      <c r="BC34">
        <v>0</v>
      </c>
      <c r="BD34" s="36">
        <v>1.2156448200000001</v>
      </c>
      <c r="BE34" s="75"/>
    </row>
    <row r="35" spans="2:57" ht="15.75" thickBot="1" x14ac:dyDescent="0.3">
      <c r="B35" s="102" t="str">
        <f>B14</f>
        <v>Blank</v>
      </c>
      <c r="C35" s="86">
        <f>(C14/10)*0.1335*10</f>
        <v>0</v>
      </c>
      <c r="D35" s="86">
        <f>C14</f>
        <v>0</v>
      </c>
      <c r="F35" s="13"/>
      <c r="G35" s="22"/>
      <c r="H35" s="8"/>
      <c r="I35" s="8"/>
      <c r="J35" s="8"/>
      <c r="K35" s="22"/>
      <c r="L35" s="22"/>
      <c r="M35" s="22"/>
      <c r="N35" s="22"/>
      <c r="O35" s="22"/>
      <c r="P35" s="9"/>
      <c r="Q35" s="9"/>
      <c r="R35" s="9"/>
      <c r="AM35" t="s">
        <v>114</v>
      </c>
      <c r="AN35" s="45" t="s">
        <v>115</v>
      </c>
      <c r="AO35" s="46">
        <v>0</v>
      </c>
      <c r="AP35" s="46">
        <v>0</v>
      </c>
      <c r="AQ35" s="46">
        <v>0</v>
      </c>
      <c r="AR35" s="46">
        <v>0</v>
      </c>
      <c r="AS35" s="46">
        <v>0</v>
      </c>
      <c r="AT35" s="46">
        <v>0</v>
      </c>
      <c r="AU35" s="46">
        <v>5</v>
      </c>
      <c r="AV35" s="46">
        <v>0</v>
      </c>
      <c r="AW35" s="46">
        <v>0</v>
      </c>
      <c r="AX35" s="46">
        <v>0</v>
      </c>
      <c r="AY35" s="46">
        <v>0</v>
      </c>
      <c r="AZ35" s="46">
        <v>0</v>
      </c>
      <c r="BA35" s="46">
        <v>0</v>
      </c>
      <c r="BB35" s="46">
        <v>0</v>
      </c>
      <c r="BC35" s="46">
        <v>0</v>
      </c>
      <c r="BD35" s="49">
        <v>1.0765171503957784</v>
      </c>
      <c r="BE35" s="66">
        <v>1</v>
      </c>
    </row>
    <row r="36" spans="2:57" x14ac:dyDescent="0.25">
      <c r="B36" s="102" t="str">
        <f>B15</f>
        <v>Blank</v>
      </c>
      <c r="C36" s="86">
        <f>(C15/10)*0.1335*10</f>
        <v>0</v>
      </c>
      <c r="D36" s="86">
        <f t="shared" ref="D36:D39" si="5">C15</f>
        <v>0</v>
      </c>
      <c r="F36" s="13"/>
      <c r="G36" s="22"/>
      <c r="H36" s="8"/>
      <c r="I36" s="8"/>
      <c r="J36" s="8"/>
      <c r="K36" s="22"/>
      <c r="L36" s="22"/>
      <c r="M36" s="22"/>
      <c r="N36" s="22"/>
      <c r="O36" s="22"/>
      <c r="P36" s="9"/>
      <c r="Q36" s="9"/>
      <c r="R36" s="9"/>
      <c r="AN36" s="2"/>
      <c r="BE36" s="66">
        <v>2</v>
      </c>
    </row>
    <row r="37" spans="2:57" x14ac:dyDescent="0.25">
      <c r="B37" s="102" t="str">
        <f>B16</f>
        <v>Blank</v>
      </c>
      <c r="C37" s="86">
        <f>(C16/10)*0.1335*10</f>
        <v>0</v>
      </c>
      <c r="D37" s="86">
        <f t="shared" si="5"/>
        <v>0</v>
      </c>
      <c r="F37" s="13"/>
      <c r="G37" s="22"/>
      <c r="H37" s="8"/>
      <c r="I37" s="8"/>
      <c r="J37" s="8"/>
      <c r="K37" s="22"/>
      <c r="L37" s="22"/>
      <c r="M37" s="22"/>
      <c r="N37" s="22"/>
      <c r="O37" s="22"/>
      <c r="P37" s="9"/>
      <c r="Q37" s="9"/>
      <c r="R37" s="9"/>
      <c r="AN37" s="2"/>
    </row>
    <row r="38" spans="2:57" x14ac:dyDescent="0.25">
      <c r="B38" s="102" t="str">
        <f>B17</f>
        <v>Blank</v>
      </c>
      <c r="C38" s="86">
        <f>(C17/10)*0.1335*10</f>
        <v>0</v>
      </c>
      <c r="D38" s="86">
        <f t="shared" si="5"/>
        <v>0</v>
      </c>
      <c r="F38" s="13"/>
      <c r="G38" s="22"/>
      <c r="H38" s="8"/>
      <c r="I38" s="8"/>
      <c r="J38" s="8"/>
      <c r="K38" s="22"/>
      <c r="L38" s="22"/>
      <c r="M38" s="22"/>
      <c r="N38" s="22"/>
      <c r="O38" s="22"/>
      <c r="P38" s="9"/>
      <c r="Q38" s="9"/>
      <c r="R38" s="9"/>
      <c r="AN38" s="2"/>
    </row>
    <row r="39" spans="2:57" x14ac:dyDescent="0.25">
      <c r="B39" s="102" t="str">
        <f>B18</f>
        <v>Blank</v>
      </c>
      <c r="C39" s="86">
        <f>(C18/10)*0.1335*10</f>
        <v>0</v>
      </c>
      <c r="D39" s="86">
        <f t="shared" si="5"/>
        <v>0</v>
      </c>
      <c r="F39" s="13"/>
      <c r="G39" s="22"/>
      <c r="H39" s="8"/>
      <c r="I39" s="8"/>
      <c r="J39" s="8"/>
      <c r="K39" s="22"/>
      <c r="L39" s="22"/>
      <c r="M39" s="22"/>
      <c r="N39" s="22"/>
      <c r="O39" s="22"/>
      <c r="P39" s="9"/>
      <c r="Q39" s="9"/>
      <c r="R39" s="9"/>
      <c r="AN39" s="2"/>
    </row>
    <row r="40" spans="2:57" x14ac:dyDescent="0.25">
      <c r="B40" s="18"/>
      <c r="C40" s="19"/>
      <c r="F40" s="13"/>
      <c r="G40" s="22"/>
      <c r="H40" s="8"/>
      <c r="I40" s="8"/>
      <c r="J40" s="8"/>
      <c r="K40" s="22"/>
      <c r="L40" s="22"/>
      <c r="M40" s="22"/>
      <c r="N40" s="22"/>
      <c r="O40" s="22"/>
      <c r="P40" s="9"/>
      <c r="Q40" s="9"/>
      <c r="R40" s="9"/>
      <c r="AN40" s="2"/>
    </row>
    <row r="41" spans="2:57" x14ac:dyDescent="0.25">
      <c r="B41" t="s">
        <v>165</v>
      </c>
      <c r="C41" s="2"/>
      <c r="E41" s="55"/>
      <c r="F41" s="54"/>
      <c r="AN41" s="2"/>
    </row>
    <row r="42" spans="2:57" ht="75" x14ac:dyDescent="0.25">
      <c r="B42" s="78" t="s">
        <v>143</v>
      </c>
      <c r="C42" s="78" t="s">
        <v>32</v>
      </c>
      <c r="D42" s="79" t="s">
        <v>146</v>
      </c>
      <c r="E42" s="80" t="s">
        <v>147</v>
      </c>
      <c r="F42" s="81" t="s">
        <v>148</v>
      </c>
      <c r="G42" s="80" t="s">
        <v>149</v>
      </c>
    </row>
    <row r="43" spans="2:57" x14ac:dyDescent="0.25">
      <c r="B43" s="82" t="s">
        <v>144</v>
      </c>
      <c r="C43" s="82" t="str">
        <f>B14</f>
        <v>Blank</v>
      </c>
      <c r="D43" s="83">
        <f>C14*10</f>
        <v>0</v>
      </c>
      <c r="E43" s="84">
        <f>D43*10</f>
        <v>0</v>
      </c>
      <c r="F43" s="85">
        <f>(E43/10)*0.1335*10</f>
        <v>0</v>
      </c>
      <c r="G43" s="86">
        <f>F43/16/10</f>
        <v>0</v>
      </c>
    </row>
    <row r="44" spans="2:57" x14ac:dyDescent="0.25">
      <c r="B44" s="82" t="s">
        <v>53</v>
      </c>
      <c r="C44" s="82" t="str">
        <f>B15</f>
        <v>Blank</v>
      </c>
      <c r="D44" s="83">
        <f>C15*10</f>
        <v>0</v>
      </c>
      <c r="E44" s="84">
        <f t="shared" ref="E44:E45" si="6">D44*10</f>
        <v>0</v>
      </c>
      <c r="F44" s="85">
        <f t="shared" ref="F44:F45" si="7">(E44/10)*0.1335*10</f>
        <v>0</v>
      </c>
      <c r="G44" s="86">
        <f t="shared" ref="G44:G45" si="8">F44/16/10</f>
        <v>0</v>
      </c>
    </row>
    <row r="45" spans="2:57" x14ac:dyDescent="0.25">
      <c r="B45" s="82" t="s">
        <v>145</v>
      </c>
      <c r="C45" s="82" t="str">
        <f>B16</f>
        <v>Blank</v>
      </c>
      <c r="D45" s="83">
        <f>C16*10</f>
        <v>0</v>
      </c>
      <c r="E45" s="84">
        <f t="shared" si="6"/>
        <v>0</v>
      </c>
      <c r="F45" s="85">
        <f t="shared" si="7"/>
        <v>0</v>
      </c>
      <c r="G45" s="86">
        <f t="shared" si="8"/>
        <v>0</v>
      </c>
      <c r="AL45" s="27"/>
    </row>
    <row r="46" spans="2:57" x14ac:dyDescent="0.25">
      <c r="B46" s="82" t="s">
        <v>166</v>
      </c>
      <c r="C46" s="82" t="str">
        <f t="shared" ref="C46:C47" si="9">B17</f>
        <v>Blank</v>
      </c>
      <c r="D46" s="83">
        <f t="shared" ref="D46:D47" si="10">C17*10</f>
        <v>0</v>
      </c>
      <c r="E46" s="84">
        <f t="shared" ref="E46:E47" si="11">D46*10</f>
        <v>0</v>
      </c>
      <c r="F46" s="85">
        <f t="shared" ref="F46:F47" si="12">(E46/10)*0.1335*10</f>
        <v>0</v>
      </c>
      <c r="G46" s="86">
        <f t="shared" ref="G46:G47" si="13">F46/16/10</f>
        <v>0</v>
      </c>
    </row>
    <row r="47" spans="2:57" x14ac:dyDescent="0.25">
      <c r="B47" s="82" t="s">
        <v>167</v>
      </c>
      <c r="C47" s="82" t="str">
        <f t="shared" si="9"/>
        <v>Blank</v>
      </c>
      <c r="D47" s="83">
        <f t="shared" si="10"/>
        <v>0</v>
      </c>
      <c r="E47" s="84">
        <f t="shared" si="11"/>
        <v>0</v>
      </c>
      <c r="F47" s="85">
        <f t="shared" si="12"/>
        <v>0</v>
      </c>
      <c r="G47" s="86">
        <f t="shared" si="13"/>
        <v>0</v>
      </c>
    </row>
    <row r="48" spans="2:57" x14ac:dyDescent="0.25">
      <c r="B48" s="18"/>
      <c r="C48" s="19"/>
      <c r="F48" s="13"/>
      <c r="AC48" s="27"/>
      <c r="AM48" s="27"/>
      <c r="AN48" s="27"/>
      <c r="AO48" s="27"/>
      <c r="AP48" s="27"/>
      <c r="AQ48" s="27"/>
      <c r="AR48" s="27"/>
      <c r="AS48" s="27"/>
    </row>
    <row r="49" spans="2:47" x14ac:dyDescent="0.25">
      <c r="B49" t="s">
        <v>164</v>
      </c>
      <c r="C49" s="19"/>
      <c r="Y49" s="27"/>
      <c r="Z49" s="27"/>
      <c r="AA49" s="27"/>
      <c r="AB49" s="27"/>
      <c r="AC49" s="27"/>
      <c r="AL49" s="66"/>
      <c r="AM49" s="66"/>
      <c r="AN49" s="66" t="s">
        <v>10</v>
      </c>
      <c r="AO49" s="66" t="s">
        <v>9</v>
      </c>
      <c r="AP49" s="66" t="s">
        <v>16</v>
      </c>
      <c r="AQ49" s="66" t="s">
        <v>18</v>
      </c>
      <c r="AR49" s="66" t="s">
        <v>20</v>
      </c>
      <c r="AS49" s="66" t="s">
        <v>22</v>
      </c>
      <c r="AT49" s="66" t="s">
        <v>48</v>
      </c>
      <c r="AU49" s="66" t="s">
        <v>50</v>
      </c>
    </row>
    <row r="50" spans="2:47" x14ac:dyDescent="0.25">
      <c r="B50" s="69" t="s">
        <v>82</v>
      </c>
      <c r="C50" s="69" t="s">
        <v>162</v>
      </c>
      <c r="E50" s="69" t="s">
        <v>75</v>
      </c>
      <c r="Y50" s="25"/>
      <c r="Z50" s="26"/>
      <c r="AA50" s="25"/>
      <c r="AB50" s="27"/>
      <c r="AC50" s="8"/>
      <c r="AK50" s="77"/>
      <c r="AL50" s="75"/>
      <c r="AM50" s="75"/>
      <c r="AN50" s="75" t="s">
        <v>7</v>
      </c>
      <c r="AO50" s="75" t="s">
        <v>7</v>
      </c>
      <c r="AP50" s="75" t="s">
        <v>7</v>
      </c>
      <c r="AQ50" s="75" t="s">
        <v>7</v>
      </c>
      <c r="AR50" s="75" t="s">
        <v>7</v>
      </c>
      <c r="AS50" s="75" t="s">
        <v>7</v>
      </c>
      <c r="AT50" s="75" t="s">
        <v>7</v>
      </c>
      <c r="AU50" s="75" t="s">
        <v>7</v>
      </c>
    </row>
    <row r="51" spans="2:47" x14ac:dyDescent="0.25">
      <c r="B51" s="87" t="str">
        <f>B14</f>
        <v>Blank</v>
      </c>
      <c r="C51" s="53">
        <v>5.38</v>
      </c>
      <c r="D51" s="63" t="s">
        <v>96</v>
      </c>
      <c r="E51" s="70">
        <f>(C51/1000*(C14))</f>
        <v>0</v>
      </c>
      <c r="F51" s="54" t="s">
        <v>163</v>
      </c>
      <c r="Z51" s="8"/>
      <c r="AA51" s="8"/>
      <c r="AB51" s="8"/>
      <c r="AC51" s="8"/>
      <c r="AK51" s="75"/>
      <c r="AL51" s="75"/>
      <c r="AM51" s="75"/>
      <c r="AN51" s="75" t="s">
        <v>11</v>
      </c>
      <c r="AO51" s="75" t="s">
        <v>15</v>
      </c>
      <c r="AP51" s="75" t="s">
        <v>7</v>
      </c>
      <c r="AQ51" s="75" t="s">
        <v>7</v>
      </c>
      <c r="AR51" s="75" t="s">
        <v>7</v>
      </c>
      <c r="AS51" s="75" t="s">
        <v>7</v>
      </c>
      <c r="AT51" s="75" t="s">
        <v>7</v>
      </c>
      <c r="AU51" s="75" t="s">
        <v>7</v>
      </c>
    </row>
    <row r="52" spans="2:47" x14ac:dyDescent="0.25">
      <c r="B52" s="87" t="str">
        <f>B15</f>
        <v>Blank</v>
      </c>
      <c r="C52" s="53">
        <v>4.71</v>
      </c>
      <c r="D52" s="63" t="s">
        <v>96</v>
      </c>
      <c r="E52" s="70">
        <f>(C52/1000*(C15))</f>
        <v>0</v>
      </c>
      <c r="F52" s="54"/>
      <c r="Q52" s="9"/>
      <c r="R52" s="9"/>
      <c r="Z52" s="8"/>
      <c r="AA52" s="8"/>
      <c r="AB52" s="8"/>
      <c r="AC52" s="8"/>
      <c r="AK52" s="75"/>
      <c r="AL52" s="75"/>
      <c r="AM52" s="75"/>
      <c r="AN52" s="75" t="s">
        <v>7</v>
      </c>
      <c r="AO52" s="75" t="s">
        <v>7</v>
      </c>
      <c r="AP52" s="75" t="s">
        <v>17</v>
      </c>
      <c r="AQ52" s="75" t="s">
        <v>19</v>
      </c>
      <c r="AR52" s="75" t="s">
        <v>21</v>
      </c>
      <c r="AS52" s="75" t="s">
        <v>23</v>
      </c>
      <c r="AT52" s="75" t="s">
        <v>7</v>
      </c>
      <c r="AU52" s="75" t="s">
        <v>7</v>
      </c>
    </row>
    <row r="53" spans="2:47" x14ac:dyDescent="0.25">
      <c r="B53" s="87" t="str">
        <f t="shared" ref="B53:B55" si="14">B16</f>
        <v>Blank</v>
      </c>
      <c r="C53" s="53">
        <v>3.83</v>
      </c>
      <c r="D53" s="63" t="s">
        <v>96</v>
      </c>
      <c r="E53" s="70">
        <f t="shared" ref="E53:E55" si="15">(C53/1000*(C16))</f>
        <v>0</v>
      </c>
      <c r="F53" s="54"/>
      <c r="Q53" s="9"/>
      <c r="R53" s="9"/>
      <c r="Z53" s="8"/>
      <c r="AA53" s="8"/>
      <c r="AB53" s="8"/>
      <c r="AC53" s="8"/>
      <c r="AK53" s="75"/>
      <c r="AL53" s="75"/>
      <c r="AM53" s="75"/>
      <c r="AN53" s="75" t="s">
        <v>7</v>
      </c>
      <c r="AO53" s="75" t="s">
        <v>7</v>
      </c>
      <c r="AP53" s="75" t="s">
        <v>7</v>
      </c>
      <c r="AQ53" s="75" t="s">
        <v>7</v>
      </c>
      <c r="AR53" s="75" t="s">
        <v>7</v>
      </c>
      <c r="AS53" s="75" t="s">
        <v>7</v>
      </c>
      <c r="AT53" s="75" t="s">
        <v>49</v>
      </c>
      <c r="AU53" s="75" t="s">
        <v>51</v>
      </c>
    </row>
    <row r="54" spans="2:47" x14ac:dyDescent="0.25">
      <c r="B54" s="87" t="str">
        <f t="shared" si="14"/>
        <v>Blank</v>
      </c>
      <c r="C54" s="53">
        <v>3.33</v>
      </c>
      <c r="D54" s="63" t="s">
        <v>96</v>
      </c>
      <c r="E54" s="70">
        <f t="shared" si="15"/>
        <v>0</v>
      </c>
      <c r="F54" s="54"/>
      <c r="Z54" s="8"/>
      <c r="AA54" s="8"/>
      <c r="AB54" s="8"/>
      <c r="AC54" s="8"/>
      <c r="AK54" s="75"/>
      <c r="AL54" s="75"/>
      <c r="AM54" s="75"/>
      <c r="AN54" s="75"/>
      <c r="AO54" s="75"/>
      <c r="AP54" s="75"/>
      <c r="AQ54" s="75"/>
      <c r="AR54" s="75"/>
      <c r="AS54" s="75"/>
      <c r="AT54" s="75"/>
      <c r="AU54" s="75"/>
    </row>
    <row r="55" spans="2:47" x14ac:dyDescent="0.25">
      <c r="B55" s="87" t="str">
        <f t="shared" si="14"/>
        <v>Blank</v>
      </c>
      <c r="C55" s="53">
        <v>3.33</v>
      </c>
      <c r="D55" s="63" t="s">
        <v>96</v>
      </c>
      <c r="E55" s="70">
        <f t="shared" si="15"/>
        <v>0</v>
      </c>
      <c r="J55" s="8"/>
      <c r="K55" s="8"/>
      <c r="L55" s="8"/>
      <c r="M55" s="9"/>
      <c r="N55" s="9"/>
      <c r="O55" s="9"/>
      <c r="P55" s="9"/>
      <c r="Z55" s="8"/>
      <c r="AA55" s="8"/>
      <c r="AB55" s="8"/>
      <c r="AC55" s="8"/>
      <c r="AK55" s="75"/>
      <c r="AL55" s="75"/>
      <c r="AM55" s="75"/>
      <c r="AN55" s="75"/>
      <c r="AO55" s="75"/>
      <c r="AP55" s="75"/>
      <c r="AQ55" s="75"/>
      <c r="AR55" s="75"/>
      <c r="AS55" s="75"/>
      <c r="AT55" s="75"/>
      <c r="AU55" s="75"/>
    </row>
    <row r="56" spans="2:47" x14ac:dyDescent="0.25">
      <c r="C56" s="2"/>
      <c r="E56" s="71">
        <f>SUM(E51:E54)</f>
        <v>0</v>
      </c>
      <c r="F56" s="54" t="s">
        <v>185</v>
      </c>
      <c r="J56" s="8"/>
      <c r="K56" s="8"/>
      <c r="L56" s="8"/>
      <c r="M56" s="9"/>
      <c r="N56" s="9"/>
      <c r="O56" s="9"/>
      <c r="P56" s="9"/>
      <c r="X56" s="1"/>
      <c r="Z56" s="24"/>
      <c r="AA56" s="8"/>
      <c r="AB56" s="8"/>
      <c r="AC56" s="9"/>
      <c r="AK56" s="75"/>
    </row>
    <row r="57" spans="2:47" x14ac:dyDescent="0.25">
      <c r="C57" s="2"/>
      <c r="D57" s="8"/>
      <c r="E57" s="8"/>
      <c r="F57" s="8"/>
      <c r="G57" s="8"/>
      <c r="H57" s="8"/>
      <c r="I57" s="8"/>
      <c r="Z57" s="9"/>
      <c r="AA57" s="9"/>
      <c r="AB57" s="9"/>
      <c r="AC57" s="9"/>
      <c r="AS57" s="56"/>
    </row>
    <row r="58" spans="2:47" x14ac:dyDescent="0.25">
      <c r="C58" s="6"/>
      <c r="D58" s="8"/>
      <c r="H58" s="8"/>
      <c r="I58" s="8"/>
      <c r="Z58" s="9"/>
      <c r="AA58" s="9"/>
      <c r="AB58" s="9"/>
      <c r="AC58" s="9"/>
    </row>
    <row r="59" spans="2:47" x14ac:dyDescent="0.25">
      <c r="C59" s="7"/>
      <c r="Z59" s="9"/>
      <c r="AA59" s="9"/>
      <c r="AB59" s="9"/>
      <c r="AC59" s="9"/>
    </row>
    <row r="60" spans="2:47" x14ac:dyDescent="0.25">
      <c r="B60" s="18"/>
      <c r="C60" s="19"/>
      <c r="Z60" s="9"/>
      <c r="AA60" s="9"/>
      <c r="AB60" s="9"/>
      <c r="AC60" s="9"/>
    </row>
    <row r="61" spans="2:47" x14ac:dyDescent="0.25">
      <c r="B61" s="18"/>
      <c r="C61" s="19"/>
      <c r="J61" s="27"/>
      <c r="Z61" s="9"/>
      <c r="AA61" s="9"/>
      <c r="AB61" s="9"/>
      <c r="AC61" s="9"/>
    </row>
    <row r="62" spans="2:47" x14ac:dyDescent="0.25">
      <c r="Z62" s="9"/>
      <c r="AA62" s="9"/>
      <c r="AB62" s="9"/>
    </row>
    <row r="63" spans="2:47" x14ac:dyDescent="0.25">
      <c r="D63" s="27"/>
      <c r="E63" s="27"/>
      <c r="F63" s="27"/>
      <c r="G63" s="27"/>
      <c r="H63" s="27"/>
      <c r="I63" s="27"/>
    </row>
    <row r="64" spans="2:47" x14ac:dyDescent="0.25">
      <c r="B64" s="27" t="s">
        <v>3</v>
      </c>
      <c r="C64" s="27"/>
      <c r="Y64" s="21"/>
    </row>
    <row r="65" spans="2:25" x14ac:dyDescent="0.25">
      <c r="C65" s="14" t="s">
        <v>123</v>
      </c>
      <c r="D65" s="14" t="s">
        <v>125</v>
      </c>
      <c r="E65" s="14" t="s">
        <v>8</v>
      </c>
      <c r="F65" s="14" t="s">
        <v>10</v>
      </c>
      <c r="G65" s="14" t="s">
        <v>128</v>
      </c>
      <c r="H65" s="14" t="s">
        <v>9</v>
      </c>
      <c r="I65" s="14" t="s">
        <v>172</v>
      </c>
      <c r="J65" s="14" t="s">
        <v>173</v>
      </c>
      <c r="K65" s="14" t="s">
        <v>174</v>
      </c>
      <c r="L65" s="14" t="s">
        <v>175</v>
      </c>
      <c r="M65" s="14" t="s">
        <v>48</v>
      </c>
      <c r="N65" s="14" t="s">
        <v>50</v>
      </c>
      <c r="Y65" s="21"/>
    </row>
    <row r="66" spans="2:25" ht="30" x14ac:dyDescent="0.25">
      <c r="B66" t="s">
        <v>4</v>
      </c>
      <c r="C66" s="57" t="s">
        <v>124</v>
      </c>
      <c r="D66" s="57" t="s">
        <v>126</v>
      </c>
      <c r="E66" s="57" t="s">
        <v>127</v>
      </c>
      <c r="F66" s="57" t="s">
        <v>7</v>
      </c>
      <c r="G66" s="57"/>
      <c r="H66" s="57" t="s">
        <v>7</v>
      </c>
      <c r="I66" s="57" t="s">
        <v>7</v>
      </c>
      <c r="J66" s="57" t="s">
        <v>7</v>
      </c>
      <c r="K66" s="57" t="s">
        <v>7</v>
      </c>
      <c r="L66" s="57" t="s">
        <v>7</v>
      </c>
      <c r="M66" s="57" t="s">
        <v>7</v>
      </c>
      <c r="N66" s="57" t="s">
        <v>7</v>
      </c>
      <c r="Y66" s="21"/>
    </row>
    <row r="67" spans="2:25" ht="30" x14ac:dyDescent="0.25">
      <c r="B67" t="s">
        <v>6</v>
      </c>
      <c r="C67" s="57" t="s">
        <v>7</v>
      </c>
      <c r="D67" s="57"/>
      <c r="E67" s="57" t="s">
        <v>7</v>
      </c>
      <c r="F67" s="57" t="s">
        <v>176</v>
      </c>
      <c r="G67" s="57" t="s">
        <v>177</v>
      </c>
      <c r="H67" s="57" t="s">
        <v>178</v>
      </c>
      <c r="I67" s="57" t="s">
        <v>7</v>
      </c>
      <c r="J67" s="57" t="s">
        <v>7</v>
      </c>
      <c r="K67" s="57" t="s">
        <v>7</v>
      </c>
      <c r="L67" s="57" t="s">
        <v>7</v>
      </c>
      <c r="M67" s="57" t="s">
        <v>7</v>
      </c>
      <c r="N67" s="57" t="s">
        <v>7</v>
      </c>
      <c r="Y67" s="21"/>
    </row>
    <row r="68" spans="2:25" ht="30" x14ac:dyDescent="0.25">
      <c r="B68" t="s">
        <v>14</v>
      </c>
      <c r="C68" s="57" t="s">
        <v>7</v>
      </c>
      <c r="D68" s="57"/>
      <c r="E68" s="57" t="s">
        <v>7</v>
      </c>
      <c r="F68" s="57" t="s">
        <v>7</v>
      </c>
      <c r="G68" s="57"/>
      <c r="H68" s="57" t="s">
        <v>7</v>
      </c>
      <c r="I68" s="57" t="s">
        <v>179</v>
      </c>
      <c r="J68" s="57" t="s">
        <v>180</v>
      </c>
      <c r="K68" s="57" t="s">
        <v>181</v>
      </c>
      <c r="L68" s="57" t="s">
        <v>182</v>
      </c>
      <c r="M68" s="57" t="s">
        <v>7</v>
      </c>
      <c r="N68" s="57" t="s">
        <v>7</v>
      </c>
      <c r="Y68" s="21"/>
    </row>
    <row r="69" spans="2:25" ht="46.5" customHeight="1" x14ac:dyDescent="0.25">
      <c r="B69" t="s">
        <v>0</v>
      </c>
      <c r="C69" s="57" t="s">
        <v>7</v>
      </c>
      <c r="D69" s="57"/>
      <c r="E69" s="57" t="s">
        <v>7</v>
      </c>
      <c r="F69" s="57" t="s">
        <v>7</v>
      </c>
      <c r="G69" s="57"/>
      <c r="H69" s="57" t="s">
        <v>7</v>
      </c>
      <c r="I69" s="57" t="s">
        <v>7</v>
      </c>
      <c r="J69" s="57" t="s">
        <v>7</v>
      </c>
      <c r="K69" s="57" t="s">
        <v>7</v>
      </c>
      <c r="L69" s="57" t="s">
        <v>7</v>
      </c>
      <c r="M69" s="57" t="s">
        <v>183</v>
      </c>
      <c r="N69" s="57" t="s">
        <v>184</v>
      </c>
    </row>
    <row r="75" spans="2:25" x14ac:dyDescent="0.25">
      <c r="C75" s="2"/>
    </row>
    <row r="76" spans="2:25" x14ac:dyDescent="0.25">
      <c r="C76" s="2"/>
    </row>
    <row r="77" spans="2:25" x14ac:dyDescent="0.25">
      <c r="C77" s="2"/>
    </row>
    <row r="78" spans="2:25" x14ac:dyDescent="0.25">
      <c r="C78" s="2"/>
    </row>
    <row r="79" spans="2:25" x14ac:dyDescent="0.25">
      <c r="C79" s="2"/>
      <c r="Q79" s="9"/>
      <c r="R79" s="9"/>
    </row>
    <row r="80" spans="2:25" x14ac:dyDescent="0.25">
      <c r="C80" s="2"/>
      <c r="Q80" s="9"/>
      <c r="R80" s="9"/>
    </row>
    <row r="81" spans="2:18" x14ac:dyDescent="0.25">
      <c r="B81" s="1"/>
      <c r="C81" s="2"/>
      <c r="Q81" s="9"/>
      <c r="R81" s="9"/>
    </row>
    <row r="82" spans="2:18" x14ac:dyDescent="0.25">
      <c r="C82" s="2"/>
      <c r="J82" s="8"/>
      <c r="K82" s="8"/>
      <c r="L82" s="8"/>
      <c r="M82" s="9"/>
      <c r="N82" s="9"/>
      <c r="O82" s="9"/>
      <c r="P82" s="9"/>
    </row>
    <row r="83" spans="2:18" x14ac:dyDescent="0.25">
      <c r="C83" s="2"/>
      <c r="J83" s="8"/>
      <c r="K83" s="8"/>
      <c r="L83" s="8"/>
      <c r="M83" s="9"/>
      <c r="N83" s="9"/>
      <c r="O83" s="9"/>
      <c r="P83" s="9"/>
    </row>
    <row r="84" spans="2:18" x14ac:dyDescent="0.25">
      <c r="C84" s="2"/>
      <c r="D84" s="8"/>
      <c r="E84" s="8"/>
      <c r="F84" s="8"/>
      <c r="G84" s="8"/>
      <c r="H84" s="8"/>
      <c r="I84" s="8"/>
      <c r="J84" s="8"/>
      <c r="K84" s="8"/>
      <c r="L84" s="8"/>
      <c r="M84" s="9"/>
      <c r="N84" s="9"/>
      <c r="O84" s="9"/>
      <c r="P84" s="9"/>
    </row>
    <row r="85" spans="2:18" x14ac:dyDescent="0.25">
      <c r="C85" s="6"/>
      <c r="D85" s="8"/>
      <c r="H85" s="8"/>
      <c r="I85" s="8"/>
    </row>
    <row r="86" spans="2:18" x14ac:dyDescent="0.25">
      <c r="C86" s="7"/>
      <c r="D86" s="8"/>
      <c r="E86" s="8"/>
      <c r="F86" s="8"/>
      <c r="G86" s="8"/>
      <c r="H86" s="8"/>
      <c r="I86" s="8"/>
    </row>
    <row r="87" spans="2:18" x14ac:dyDescent="0.25">
      <c r="C87" s="2"/>
    </row>
    <row r="88" spans="2:18" x14ac:dyDescent="0.25">
      <c r="Q88" s="9"/>
      <c r="R88" s="9"/>
    </row>
    <row r="89" spans="2:18" x14ac:dyDescent="0.25">
      <c r="B89" s="1"/>
      <c r="C89" s="2"/>
      <c r="Q89" s="9"/>
      <c r="R89" s="9"/>
    </row>
    <row r="90" spans="2:18" x14ac:dyDescent="0.25">
      <c r="C90" s="2"/>
    </row>
    <row r="91" spans="2:18" x14ac:dyDescent="0.25">
      <c r="C91" s="2"/>
      <c r="J91" s="8"/>
      <c r="K91" s="8"/>
      <c r="L91" s="8"/>
      <c r="M91" s="9"/>
      <c r="N91" s="9"/>
      <c r="O91" s="9"/>
      <c r="P91" s="9"/>
    </row>
    <row r="92" spans="2:18" x14ac:dyDescent="0.25">
      <c r="C92" s="2"/>
      <c r="J92" s="8"/>
      <c r="K92" s="8"/>
      <c r="L92" s="8"/>
      <c r="M92" s="9"/>
      <c r="N92" s="9"/>
      <c r="O92" s="9"/>
      <c r="P92" s="9"/>
    </row>
    <row r="93" spans="2:18" x14ac:dyDescent="0.25">
      <c r="C93" s="2"/>
      <c r="D93" s="8"/>
      <c r="E93" s="8"/>
      <c r="F93" s="8"/>
      <c r="G93" s="8"/>
      <c r="H93" s="8"/>
      <c r="I93" s="8"/>
    </row>
    <row r="94" spans="2:18" x14ac:dyDescent="0.25">
      <c r="C94" s="6"/>
      <c r="D94" s="8"/>
      <c r="H94" s="8"/>
      <c r="I94" s="8"/>
    </row>
    <row r="95" spans="2:18" x14ac:dyDescent="0.25">
      <c r="C95" s="7"/>
    </row>
    <row r="105" spans="4:16" x14ac:dyDescent="0.25">
      <c r="K105" s="118"/>
      <c r="L105" s="118"/>
      <c r="M105" s="118"/>
      <c r="N105" s="118"/>
      <c r="O105" s="118"/>
      <c r="P105" s="118"/>
    </row>
    <row r="106" spans="4:16" x14ac:dyDescent="0.25">
      <c r="K106" s="4"/>
      <c r="L106" s="4"/>
      <c r="M106" s="4"/>
      <c r="N106" s="4"/>
      <c r="O106" s="4"/>
      <c r="P106" s="4"/>
    </row>
    <row r="107" spans="4:16" x14ac:dyDescent="0.25">
      <c r="D107" s="58"/>
      <c r="E107" s="58"/>
      <c r="F107" s="58"/>
      <c r="G107" s="58"/>
      <c r="H107" s="58"/>
      <c r="I107" s="58"/>
      <c r="K107" s="3"/>
      <c r="L107" s="3"/>
      <c r="M107" s="3"/>
      <c r="N107" s="3"/>
      <c r="O107" s="3"/>
      <c r="P107" s="3"/>
    </row>
    <row r="108" spans="4:16" x14ac:dyDescent="0.25">
      <c r="D108" s="4"/>
      <c r="E108" s="4"/>
      <c r="F108" s="4"/>
      <c r="G108" s="4"/>
      <c r="H108" s="4"/>
      <c r="I108" s="4"/>
      <c r="K108" s="3"/>
      <c r="L108" s="3"/>
      <c r="M108" s="3"/>
      <c r="N108" s="3"/>
      <c r="O108" s="3"/>
      <c r="P108" s="3"/>
    </row>
    <row r="109" spans="4:16" x14ac:dyDescent="0.25">
      <c r="D109" s="3"/>
      <c r="E109" s="3"/>
      <c r="F109" s="3"/>
      <c r="G109" s="3"/>
      <c r="H109" s="3"/>
      <c r="I109" s="3"/>
      <c r="K109" s="3"/>
      <c r="L109" s="3"/>
      <c r="M109" s="3"/>
      <c r="N109" s="3"/>
      <c r="O109" s="3"/>
      <c r="P109" s="3"/>
    </row>
    <row r="110" spans="4:16" x14ac:dyDescent="0.25">
      <c r="D110" s="3"/>
      <c r="E110" s="3"/>
      <c r="F110" s="3"/>
      <c r="G110" s="3"/>
      <c r="H110" s="3"/>
      <c r="I110" s="3"/>
      <c r="K110" s="3"/>
      <c r="L110" s="3"/>
      <c r="M110" s="3"/>
      <c r="N110" s="3"/>
      <c r="O110" s="3"/>
      <c r="P110" s="3"/>
    </row>
    <row r="111" spans="4:16" x14ac:dyDescent="0.25">
      <c r="D111" s="3"/>
      <c r="E111" s="3"/>
      <c r="F111" s="3"/>
      <c r="G111" s="3"/>
      <c r="H111" s="3"/>
      <c r="I111" s="3"/>
      <c r="K111" s="3"/>
      <c r="L111" s="3"/>
      <c r="M111" s="3"/>
      <c r="N111" s="3"/>
      <c r="O111" s="3"/>
      <c r="P111" s="3"/>
    </row>
    <row r="112" spans="4:16" x14ac:dyDescent="0.25">
      <c r="D112" s="3"/>
      <c r="E112" s="3"/>
      <c r="F112" s="3"/>
      <c r="G112" s="3"/>
      <c r="H112" s="3"/>
      <c r="I112" s="3"/>
      <c r="K112" s="3"/>
      <c r="L112" s="3"/>
      <c r="M112" s="3"/>
      <c r="N112" s="3"/>
      <c r="O112" s="3"/>
      <c r="P112" s="3"/>
    </row>
    <row r="113" spans="4:16" x14ac:dyDescent="0.25">
      <c r="D113" s="3"/>
      <c r="E113" s="3"/>
      <c r="F113" s="3"/>
      <c r="G113" s="3"/>
      <c r="H113" s="3"/>
      <c r="I113" s="3"/>
      <c r="K113" s="3"/>
      <c r="L113" s="3"/>
      <c r="M113" s="3"/>
      <c r="N113" s="3"/>
      <c r="O113" s="3"/>
      <c r="P113" s="3"/>
    </row>
    <row r="114" spans="4:16" x14ac:dyDescent="0.25">
      <c r="D114" s="3"/>
      <c r="E114" s="3"/>
      <c r="F114" s="3"/>
      <c r="G114" s="3"/>
      <c r="H114" s="3"/>
      <c r="I114" s="3"/>
      <c r="K114" s="3"/>
      <c r="L114" s="3"/>
      <c r="M114" s="3"/>
      <c r="N114" s="3"/>
      <c r="O114" s="3"/>
      <c r="P114" s="3"/>
    </row>
    <row r="115" spans="4:16" x14ac:dyDescent="0.25">
      <c r="D115" s="3"/>
      <c r="E115" s="3"/>
      <c r="F115" s="3"/>
      <c r="G115" s="3"/>
      <c r="H115" s="3"/>
      <c r="I115" s="3"/>
      <c r="K115" s="3"/>
      <c r="L115" s="3"/>
      <c r="M115" s="3"/>
      <c r="N115" s="3"/>
      <c r="O115" s="3"/>
      <c r="P115" s="3"/>
    </row>
    <row r="116" spans="4:16" x14ac:dyDescent="0.25">
      <c r="D116" s="3"/>
      <c r="E116" s="3"/>
      <c r="F116" s="3"/>
      <c r="G116" s="3"/>
      <c r="H116" s="3"/>
      <c r="I116" s="3"/>
      <c r="K116" s="3"/>
      <c r="L116" s="3"/>
      <c r="M116" s="3"/>
      <c r="N116" s="3"/>
      <c r="O116" s="3"/>
      <c r="P116" s="3"/>
    </row>
    <row r="117" spans="4:16" x14ac:dyDescent="0.25">
      <c r="D117" s="3"/>
      <c r="E117" s="3"/>
      <c r="F117" s="3"/>
      <c r="G117" s="3"/>
      <c r="H117" s="3"/>
      <c r="I117" s="3"/>
      <c r="K117" s="3"/>
      <c r="L117" s="3"/>
      <c r="M117" s="3"/>
      <c r="N117" s="3"/>
      <c r="O117" s="3"/>
      <c r="P117" s="3"/>
    </row>
    <row r="118" spans="4:16" x14ac:dyDescent="0.25">
      <c r="D118" s="3"/>
      <c r="E118" s="3"/>
      <c r="F118" s="3"/>
      <c r="G118" s="3"/>
      <c r="H118" s="3"/>
      <c r="I118" s="3"/>
      <c r="K118" s="3"/>
      <c r="L118" s="3"/>
      <c r="M118" s="3"/>
      <c r="N118" s="3"/>
      <c r="O118" s="3"/>
      <c r="P118" s="3"/>
    </row>
    <row r="119" spans="4:16" x14ac:dyDescent="0.25">
      <c r="D119" s="3"/>
      <c r="E119" s="3"/>
      <c r="F119" s="3"/>
      <c r="G119" s="3"/>
      <c r="H119" s="3"/>
      <c r="I119" s="3"/>
      <c r="K119" s="3"/>
      <c r="L119" s="3"/>
      <c r="M119" s="3"/>
      <c r="N119" s="3"/>
      <c r="O119" s="3"/>
      <c r="P119" s="3"/>
    </row>
    <row r="120" spans="4:16" x14ac:dyDescent="0.25">
      <c r="D120" s="3"/>
      <c r="E120" s="3"/>
      <c r="F120" s="3"/>
      <c r="G120" s="3"/>
      <c r="H120" s="3"/>
      <c r="I120" s="3"/>
      <c r="K120" s="3"/>
      <c r="L120" s="3"/>
      <c r="M120" s="3"/>
      <c r="N120" s="3"/>
      <c r="O120" s="3"/>
      <c r="P120" s="3"/>
    </row>
    <row r="121" spans="4:16" x14ac:dyDescent="0.25">
      <c r="D121" s="3"/>
      <c r="E121" s="3"/>
      <c r="F121" s="3"/>
      <c r="G121" s="3"/>
      <c r="H121" s="3"/>
      <c r="I121" s="3"/>
      <c r="K121" s="3"/>
      <c r="L121" s="3"/>
      <c r="M121" s="3"/>
      <c r="N121" s="3"/>
      <c r="O121" s="3"/>
      <c r="P121" s="3"/>
    </row>
    <row r="122" spans="4:16" x14ac:dyDescent="0.25">
      <c r="D122" s="3"/>
      <c r="E122" s="3"/>
      <c r="F122" s="3"/>
      <c r="G122" s="3"/>
      <c r="H122" s="3"/>
      <c r="I122" s="3"/>
    </row>
    <row r="123" spans="4:16" x14ac:dyDescent="0.25">
      <c r="D123" s="3"/>
      <c r="E123" s="3"/>
      <c r="F123" s="3"/>
      <c r="G123" s="3"/>
      <c r="H123" s="3"/>
      <c r="I123" s="3"/>
    </row>
  </sheetData>
  <mergeCells count="1">
    <mergeCell ref="K105:P105"/>
  </mergeCells>
  <phoneticPr fontId="7" type="noConversion"/>
  <conditionalFormatting sqref="C28">
    <cfRule type="cellIs" dxfId="21" priority="13" operator="lessThan">
      <formula>$C$29</formula>
    </cfRule>
  </conditionalFormatting>
  <conditionalFormatting sqref="G28">
    <cfRule type="cellIs" dxfId="20" priority="12" operator="lessThan">
      <formula>$G$29</formula>
    </cfRule>
  </conditionalFormatting>
  <conditionalFormatting sqref="G34:G47">
    <cfRule type="cellIs" dxfId="19" priority="43" operator="lessThan">
      <formula>0</formula>
    </cfRule>
  </conditionalFormatting>
  <conditionalFormatting sqref="H28">
    <cfRule type="cellIs" dxfId="18" priority="11" operator="lessThan">
      <formula>$H$29</formula>
    </cfRule>
  </conditionalFormatting>
  <conditionalFormatting sqref="I28">
    <cfRule type="cellIs" dxfId="17" priority="10" operator="lessThan">
      <formula>$I$29</formula>
    </cfRule>
  </conditionalFormatting>
  <conditionalFormatting sqref="J28:K28">
    <cfRule type="cellIs" dxfId="16" priority="9" operator="lessThan">
      <formula>$J$29</formula>
    </cfRule>
  </conditionalFormatting>
  <conditionalFormatting sqref="K34:Q40">
    <cfRule type="cellIs" dxfId="15" priority="34" operator="lessThan">
      <formula>0</formula>
    </cfRule>
  </conditionalFormatting>
  <conditionalFormatting sqref="L28">
    <cfRule type="cellIs" dxfId="14" priority="8" operator="lessThan">
      <formula>$L$29</formula>
    </cfRule>
  </conditionalFormatting>
  <conditionalFormatting sqref="M28">
    <cfRule type="cellIs" dxfId="13" priority="7" operator="lessThan">
      <formula>$M$29</formula>
    </cfRule>
  </conditionalFormatting>
  <conditionalFormatting sqref="N28">
    <cfRule type="cellIs" dxfId="12" priority="6" operator="lessThan">
      <formula>$N$29</formula>
    </cfRule>
  </conditionalFormatting>
  <conditionalFormatting sqref="O28">
    <cfRule type="cellIs" dxfId="11" priority="5" operator="lessThan">
      <formula>$O$29</formula>
    </cfRule>
  </conditionalFormatting>
  <conditionalFormatting sqref="O34:O40">
    <cfRule type="cellIs" dxfId="10" priority="36" operator="greaterThan">
      <formula>190</formula>
    </cfRule>
  </conditionalFormatting>
  <conditionalFormatting sqref="P28">
    <cfRule type="cellIs" dxfId="9" priority="4" operator="lessThan">
      <formula>$P$29</formula>
    </cfRule>
  </conditionalFormatting>
  <conditionalFormatting sqref="Q28">
    <cfRule type="cellIs" dxfId="8" priority="3" operator="lessThan">
      <formula>$Q$29</formula>
    </cfRule>
  </conditionalFormatting>
  <conditionalFormatting sqref="Q53:R53 J56:P56 D58:I58 Q80:R80 J83:P83 D85:I85 Q89:R89 J92:P92 D94:I94">
    <cfRule type="cellIs" dxfId="7" priority="44" operator="greaterThan">
      <formula>0</formula>
    </cfRule>
    <cfRule type="cellIs" dxfId="6" priority="45" operator="lessThan">
      <formula>0</formula>
    </cfRule>
  </conditionalFormatting>
  <conditionalFormatting sqref="R28">
    <cfRule type="cellIs" dxfId="5" priority="1" operator="lessThan">
      <formula>$X$19</formula>
    </cfRule>
    <cfRule type="cellIs" dxfId="4" priority="2" operator="greaterThan">
      <formula>$W$19</formula>
    </cfRule>
  </conditionalFormatting>
  <conditionalFormatting sqref="AA51:AA62">
    <cfRule type="cellIs" dxfId="3" priority="52" operator="greaterThan">
      <formula>0</formula>
    </cfRule>
    <cfRule type="cellIs" dxfId="2" priority="53" operator="lessThan">
      <formula>0</formula>
    </cfRule>
  </conditionalFormatting>
  <conditionalFormatting sqref="AC50:AC61">
    <cfRule type="cellIs" dxfId="1" priority="46" operator="greaterThan">
      <formula>0</formula>
    </cfRule>
    <cfRule type="cellIs" dxfId="0" priority="47" operator="lessThan">
      <formula>0</formula>
    </cfRule>
  </conditionalFormatting>
  <dataValidations count="3">
    <dataValidation type="list" allowBlank="1" showInputMessage="1" showErrorMessage="1" sqref="C8" xr:uid="{FB10E904-C244-487F-963B-DE0C6F195367}">
      <formula1>$AL$3:$AL$4</formula1>
    </dataValidation>
    <dataValidation type="list" allowBlank="1" showInputMessage="1" showErrorMessage="1" sqref="B14:B18" xr:uid="{7B1289D8-B041-4811-BD67-2C98E1CD7E94}">
      <formula1>$AN$3:$AN$35</formula1>
    </dataValidation>
    <dataValidation type="list" allowBlank="1" showInputMessage="1" showErrorMessage="1" sqref="C7" xr:uid="{93841EC0-7720-4D0B-8210-9C474F47ACBF}">
      <formula1>$AK$3:$AK$15</formula1>
    </dataValidation>
  </dataValidations>
  <pageMargins left="0.7" right="0.7" top="0.75" bottom="0.75" header="0.3" footer="0.3"/>
  <pageSetup orientation="portrait" r:id="rId1"/>
  <ignoredErrors>
    <ignoredError sqref="AN3 AN6" twoDigitTextYear="1"/>
    <ignoredError sqref="E17:E18 E15"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Introduction</vt:lpstr>
      <vt:lpstr>Instructions</vt:lpstr>
      <vt:lpstr>Nutrient solution calculator</vt:lpstr>
    </vt:vector>
  </TitlesOfParts>
  <Company>University of Missouri Extension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Cabrera-Garcia, Juan</cp:lastModifiedBy>
  <dcterms:created xsi:type="dcterms:W3CDTF">2020-01-17T15:52:51Z</dcterms:created>
  <dcterms:modified xsi:type="dcterms:W3CDTF">2026-01-30T21:34:51Z</dcterms:modified>
</cp:coreProperties>
</file>